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NAS-3\QA-folder\Quality\Q.A\Conflict Minerals - CMRT &amp; CRT\CMRT\"/>
    </mc:Choice>
  </mc:AlternateContent>
  <xr:revisionPtr revIDLastSave="0" documentId="13_ncr:1_{87C8F52D-9A22-400E-A8D7-725DCB05A751}"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89" i="5" l="1"/>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s="1"/>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X63" i="5"/>
  <c r="I126" i="5"/>
  <c r="H126" i="5"/>
  <c r="H147" i="5"/>
  <c r="I147" i="5"/>
  <c r="F147" i="5"/>
  <c r="R237" i="5"/>
  <c r="F237" i="5"/>
  <c r="X237" i="5"/>
  <c r="J262" i="5"/>
  <c r="AB262" i="5"/>
  <c r="AB298" i="5"/>
  <c r="F451" i="5"/>
  <c r="R453" i="5"/>
  <c r="J453" i="5"/>
  <c r="H453" i="5"/>
  <c r="F453" i="5"/>
  <c r="H107" i="5"/>
  <c r="I107" i="5"/>
  <c r="X107" i="5"/>
  <c r="R125" i="5"/>
  <c r="AB1447" i="5"/>
  <c r="S1447" i="5"/>
  <c r="R22"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F109" i="5"/>
  <c r="R109" i="5"/>
  <c r="R133" i="5"/>
  <c r="F133" i="5"/>
  <c r="F169" i="5"/>
  <c r="R169" i="5"/>
  <c r="X169" i="5"/>
  <c r="H195" i="5"/>
  <c r="F195" i="5"/>
  <c r="X195" i="5"/>
  <c r="R195" i="5"/>
  <c r="I195" i="5"/>
  <c r="J195" i="5"/>
  <c r="R67" i="5"/>
  <c r="X67" i="5"/>
  <c r="R19" i="5"/>
  <c r="X19" i="5"/>
  <c r="X35" i="5"/>
  <c r="R35" i="5"/>
  <c r="H139" i="5"/>
  <c r="R139" i="5"/>
  <c r="J139" i="5"/>
  <c r="I139" i="5"/>
  <c r="X139" i="5"/>
  <c r="F139" i="5"/>
  <c r="X193" i="5"/>
  <c r="F193" i="5"/>
  <c r="H227" i="5"/>
  <c r="X227" i="5"/>
  <c r="R227" i="5"/>
  <c r="F227" i="5"/>
  <c r="J227" i="5"/>
  <c r="I227" i="5"/>
  <c r="R41" i="5"/>
  <c r="X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X27" i="5"/>
  <c r="R27" i="5"/>
  <c r="R83" i="5"/>
  <c r="X83" i="5"/>
  <c r="R51" i="5"/>
  <c r="X51" i="5"/>
  <c r="R77" i="5"/>
  <c r="X77" i="5"/>
  <c r="R89" i="5"/>
  <c r="X89" i="5"/>
  <c r="I89" i="5"/>
  <c r="X129" i="5"/>
  <c r="F129" i="5"/>
  <c r="H199" i="5"/>
  <c r="R199" i="5"/>
  <c r="J199" i="5"/>
  <c r="I199" i="5"/>
  <c r="F199" i="5"/>
  <c r="X199" i="5"/>
  <c r="H131" i="5"/>
  <c r="F131" i="5"/>
  <c r="X131" i="5"/>
  <c r="I131" i="5"/>
  <c r="R131" i="5"/>
  <c r="J131" i="5"/>
  <c r="R57" i="5"/>
  <c r="X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X31" i="5"/>
  <c r="F113" i="5"/>
  <c r="X113" i="5"/>
  <c r="R113" i="5"/>
  <c r="H155" i="5"/>
  <c r="R155" i="5"/>
  <c r="J155" i="5"/>
  <c r="I155" i="5"/>
  <c r="X155" i="5"/>
  <c r="F155" i="5"/>
  <c r="H203" i="5"/>
  <c r="R203" i="5"/>
  <c r="J203" i="5"/>
  <c r="I203" i="5"/>
  <c r="X203" i="5"/>
  <c r="F203" i="5"/>
  <c r="R249" i="5"/>
  <c r="F249" i="5"/>
  <c r="R39" i="5"/>
  <c r="R5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X55"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R25" i="5"/>
  <c r="R47" i="5"/>
  <c r="R63" i="5"/>
  <c r="R79"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X65" i="5"/>
  <c r="X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X5"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AB49" i="5"/>
  <c r="AB77" i="5"/>
  <c r="AB85" i="5"/>
  <c r="J89" i="5"/>
  <c r="H89" i="5"/>
  <c r="AB93" i="5"/>
  <c r="AB97" i="5"/>
  <c r="H118" i="5"/>
  <c r="F122" i="5"/>
  <c r="R122" i="5"/>
  <c r="J122" i="5"/>
  <c r="J125" i="5"/>
  <c r="I125" i="5"/>
  <c r="H125" i="5"/>
  <c r="R18" i="5"/>
  <c r="R23" i="5"/>
  <c r="R26" i="5"/>
  <c r="X30" i="5"/>
  <c r="R31"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27" i="6" s="1"/>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c r="B28" i="4"/>
  <c r="A16" i="6" s="1"/>
  <c r="B40" i="4"/>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C67" i="6" s="1"/>
  <c r="A1" i="8"/>
  <c r="I19" i="6"/>
  <c r="J26" i="6"/>
  <c r="I27" i="6"/>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C30" i="6" s="1"/>
  <c r="I31" i="6"/>
  <c r="I32" i="6"/>
  <c r="C32" i="6" s="1"/>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J57" i="6"/>
  <c r="I58" i="6"/>
  <c r="L67" i="6"/>
  <c r="A1" i="7"/>
  <c r="D4" i="8"/>
  <c r="C3" i="6"/>
  <c r="I4" i="6"/>
  <c r="C4" i="6" s="1"/>
  <c r="I5" i="6"/>
  <c r="C5" i="6" s="1"/>
  <c r="J21" i="6"/>
  <c r="I22" i="6"/>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c r="B25" i="4"/>
  <c r="A13" i="6" s="1"/>
  <c r="B37" i="4"/>
  <c r="A23" i="6" s="1"/>
  <c r="B47" i="4"/>
  <c r="A32" i="6"/>
  <c r="B61" i="4"/>
  <c r="A43" i="6" s="1"/>
  <c r="B74" i="4"/>
  <c r="A53" i="6" s="1"/>
  <c r="B81" i="4"/>
  <c r="A58" i="6"/>
  <c r="B3" i="5"/>
  <c r="G4" i="5"/>
  <c r="O4" i="5"/>
  <c r="A1" i="6"/>
  <c r="D3" i="6"/>
  <c r="J4" i="6"/>
  <c r="J5" i="6"/>
  <c r="I6" i="6"/>
  <c r="I7" i="6"/>
  <c r="C7" i="6" s="1"/>
  <c r="I8" i="6"/>
  <c r="I9" i="6"/>
  <c r="C9" i="6" s="1"/>
  <c r="I10" i="6"/>
  <c r="C10" i="6" s="1"/>
  <c r="I11" i="6"/>
  <c r="C11" i="6" s="1"/>
  <c r="I12" i="6"/>
  <c r="J22" i="6"/>
  <c r="J34" i="6"/>
  <c r="I35" i="6"/>
  <c r="C35" i="6" s="1"/>
  <c r="J42" i="6"/>
  <c r="J50" i="6"/>
  <c r="I51" i="6"/>
  <c r="J59" i="6"/>
  <c r="I60" i="6"/>
  <c r="C5" i="7"/>
  <c r="D1" i="6"/>
  <c r="J6" i="6"/>
  <c r="J7" i="6"/>
  <c r="J8" i="6"/>
  <c r="C8" i="6"/>
  <c r="J9" i="6"/>
  <c r="J10" i="6"/>
  <c r="J11" i="6"/>
  <c r="J12" i="6"/>
  <c r="I24" i="6"/>
  <c r="C24" i="6" s="1"/>
  <c r="J35" i="6"/>
  <c r="I36" i="6"/>
  <c r="I44" i="6"/>
  <c r="C44" i="6" s="1"/>
  <c r="J51" i="6"/>
  <c r="I52" i="6"/>
  <c r="C52" i="6" s="1"/>
  <c r="J60" i="6"/>
  <c r="I62" i="6"/>
  <c r="C62" i="6" s="1"/>
  <c r="I65" i="6"/>
  <c r="C65" i="6" s="1"/>
  <c r="D5" i="7"/>
  <c r="B10" i="4"/>
  <c r="A6" i="6" s="1"/>
  <c r="B18" i="4"/>
  <c r="A10" i="6" s="1"/>
  <c r="G25" i="4"/>
  <c r="G31" i="4" s="1"/>
  <c r="B44" i="4"/>
  <c r="A29" i="6"/>
  <c r="B49" i="4"/>
  <c r="A33" i="6" s="1"/>
  <c r="B85" i="4"/>
  <c r="A60" i="6" s="1"/>
  <c r="A4" i="5"/>
  <c r="I4" i="5"/>
  <c r="I14" i="6"/>
  <c r="I15" i="6"/>
  <c r="C15" i="6" s="1"/>
  <c r="I16" i="6"/>
  <c r="C16" i="6" s="1"/>
  <c r="I17" i="6"/>
  <c r="J24" i="6"/>
  <c r="I25" i="6"/>
  <c r="J36" i="6"/>
  <c r="I37" i="6"/>
  <c r="C37" i="6" s="1"/>
  <c r="J44" i="6"/>
  <c r="I45" i="6"/>
  <c r="C45" i="6" s="1"/>
  <c r="J52" i="6"/>
  <c r="J62" i="6"/>
  <c r="I63" i="6"/>
  <c r="C63" i="6" s="1"/>
  <c r="I64" i="6"/>
  <c r="J65" i="6"/>
  <c r="I66" i="6"/>
  <c r="B58" i="1"/>
  <c r="F4" i="8"/>
  <c r="H4" i="8"/>
  <c r="I4" i="8"/>
  <c r="C4" i="8"/>
  <c r="S94" i="5"/>
  <c r="S150" i="5"/>
  <c r="S491" i="5"/>
  <c r="S511" i="5"/>
  <c r="S147" i="5"/>
  <c r="S193" i="5"/>
  <c r="S203"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61" i="4"/>
  <c r="A17" i="6"/>
  <c r="B35" i="4"/>
  <c r="A22" i="6" s="1"/>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43" i="4"/>
  <c r="G3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B62" i="4"/>
  <c r="A44" i="6" s="1"/>
  <c r="B50" i="4"/>
  <c r="A34" i="6"/>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65" i="4"/>
  <c r="A47"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A14" i="6"/>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B34" i="4"/>
  <c r="A21" i="6" s="1"/>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270" i="5"/>
  <c r="S133" i="5"/>
  <c r="S238" i="5"/>
  <c r="S109" i="5"/>
  <c r="S245"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107" i="5"/>
  <c r="S285" i="5"/>
  <c r="S100" i="5"/>
  <c r="S266" i="5"/>
  <c r="S540" i="5"/>
  <c r="S520" i="5"/>
  <c r="S186" i="5"/>
  <c r="S550" i="5"/>
  <c r="S165" i="5"/>
  <c r="S338" i="5"/>
  <c r="S536" i="5"/>
  <c r="S310" i="5"/>
  <c r="S498" i="5"/>
  <c r="S122" i="5"/>
  <c r="S484" i="5"/>
  <c r="S471" i="5"/>
  <c r="S298" i="5"/>
  <c r="S142" i="5"/>
  <c r="S515" i="5"/>
  <c r="S289" i="5"/>
  <c r="S181" i="5"/>
  <c r="S90" i="5"/>
  <c r="S313" i="5"/>
  <c r="S242" i="5"/>
  <c r="S307" i="5"/>
  <c r="S337" i="5"/>
  <c r="S101" i="5"/>
  <c r="S555" i="5"/>
  <c r="S570" i="5"/>
  <c r="S154" i="5"/>
  <c r="S301" i="5"/>
  <c r="S246" i="5"/>
  <c r="S254"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s="1"/>
  <c r="H46" i="6"/>
  <c r="D46" i="6"/>
  <c r="H31" i="6"/>
  <c r="C31" i="6"/>
  <c r="C29" i="6"/>
  <c r="D29" i="6"/>
  <c r="H30" i="6"/>
  <c r="AB12" i="5"/>
  <c r="AB9" i="5"/>
  <c r="AB10" i="5"/>
  <c r="AB14" i="5"/>
  <c r="AB17" i="5"/>
  <c r="AB16" i="5"/>
  <c r="AB8" i="5"/>
  <c r="AB13" i="5"/>
  <c r="AB15" i="5"/>
  <c r="AB11" i="5"/>
  <c r="AB7" i="5"/>
  <c r="H49" i="6"/>
  <c r="D49" i="6"/>
  <c r="H34" i="6"/>
  <c r="H32" i="6"/>
  <c r="C51" i="6"/>
  <c r="D19" i="6"/>
  <c r="C19" i="6"/>
  <c r="K65" i="6"/>
  <c r="D24" i="6"/>
  <c r="X100" i="5"/>
  <c r="D27" i="6"/>
  <c r="C27" i="6"/>
  <c r="C36" i="6"/>
  <c r="C41" i="6"/>
  <c r="C20" i="6"/>
  <c r="D20" i="6"/>
  <c r="C2" i="6"/>
  <c r="B2" i="6"/>
  <c r="F57" i="6"/>
  <c r="H57" i="6"/>
  <c r="H54" i="6"/>
  <c r="F62" i="6"/>
  <c r="H62" i="6"/>
  <c r="F58" i="6"/>
  <c r="H58" i="6"/>
  <c r="F60" i="6"/>
  <c r="H60" i="6"/>
  <c r="F63" i="6"/>
  <c r="H63" i="6"/>
  <c r="F59" i="6"/>
  <c r="H59" i="6"/>
  <c r="F55" i="6"/>
  <c r="D25" i="6"/>
  <c r="C25" i="6"/>
  <c r="D26" i="6"/>
  <c r="C26" i="6"/>
  <c r="D21" i="6"/>
  <c r="D22" i="6"/>
  <c r="C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D34" i="6"/>
  <c r="D31" i="6"/>
  <c r="D30" i="6"/>
  <c r="D32" i="6"/>
  <c r="R16" i="5"/>
  <c r="R10" i="5"/>
  <c r="R13" i="5"/>
  <c r="R7" i="5"/>
  <c r="R17" i="5"/>
  <c r="G66" i="6"/>
  <c r="H66" i="6"/>
  <c r="C66" i="6"/>
  <c r="G67" i="6"/>
  <c r="H67" i="6"/>
  <c r="D67" i="6"/>
  <c r="G65" i="6"/>
  <c r="H65" i="6"/>
  <c r="R12" i="5"/>
  <c r="R9" i="5"/>
  <c r="R8" i="5"/>
  <c r="R15" i="5"/>
  <c r="R11" i="5"/>
  <c r="R14" i="5"/>
  <c r="C49" i="6"/>
  <c r="C60" i="6"/>
  <c r="D60" i="6"/>
  <c r="D58" i="6"/>
  <c r="C58" i="6"/>
  <c r="D63" i="6"/>
  <c r="D62" i="6"/>
  <c r="C54" i="6"/>
  <c r="D54" i="6"/>
  <c r="D57" i="6"/>
  <c r="C57" i="6"/>
  <c r="F56" i="6"/>
  <c r="H56" i="6"/>
  <c r="H55" i="6"/>
  <c r="D59" i="6"/>
  <c r="C68" i="6"/>
  <c r="X13" i="5"/>
  <c r="X10" i="5"/>
  <c r="D65" i="6"/>
  <c r="X9" i="5"/>
  <c r="X12" i="5"/>
  <c r="X14" i="5"/>
  <c r="X17" i="5"/>
  <c r="D66" i="6"/>
  <c r="X11" i="5"/>
  <c r="X15" i="5"/>
  <c r="X8" i="5"/>
  <c r="X7" i="5"/>
  <c r="X16" i="5"/>
  <c r="D55" i="6"/>
  <c r="C55" i="6"/>
  <c r="D56" i="6"/>
  <c r="C56" i="6"/>
  <c r="S6" i="5"/>
  <c r="S12" i="5"/>
  <c r="S18" i="5"/>
  <c r="S24" i="5"/>
  <c r="S30" i="5"/>
  <c r="S36" i="5"/>
  <c r="S42" i="5"/>
  <c r="S48" i="5"/>
  <c r="S54" i="5"/>
  <c r="S60" i="5"/>
  <c r="S66" i="5"/>
  <c r="S72" i="5"/>
  <c r="S78" i="5"/>
  <c r="S84" i="5"/>
  <c r="S7" i="5"/>
  <c r="S13" i="5"/>
  <c r="S19" i="5"/>
  <c r="S25" i="5"/>
  <c r="S31" i="5"/>
  <c r="S37" i="5"/>
  <c r="S43" i="5"/>
  <c r="S49" i="5"/>
  <c r="S55" i="5"/>
  <c r="S61" i="5"/>
  <c r="S67" i="5"/>
  <c r="S73" i="5"/>
  <c r="S79" i="5"/>
  <c r="S85" i="5"/>
  <c r="S8" i="5"/>
  <c r="S14" i="5"/>
  <c r="S20" i="5"/>
  <c r="S26" i="5"/>
  <c r="S32" i="5"/>
  <c r="S38" i="5"/>
  <c r="S44" i="5"/>
  <c r="S50" i="5"/>
  <c r="S56" i="5"/>
  <c r="S62" i="5"/>
  <c r="S68" i="5"/>
  <c r="S74" i="5"/>
  <c r="S80" i="5"/>
  <c r="S86" i="5"/>
  <c r="S9" i="5"/>
  <c r="S15" i="5"/>
  <c r="S21" i="5"/>
  <c r="S27" i="5"/>
  <c r="S33" i="5"/>
  <c r="S39" i="5"/>
  <c r="S45" i="5"/>
  <c r="S51" i="5"/>
  <c r="S57" i="5"/>
  <c r="S63" i="5"/>
  <c r="S69" i="5"/>
  <c r="S75" i="5"/>
  <c r="S81" i="5"/>
  <c r="S87" i="5"/>
  <c r="G64" i="6" a="1"/>
  <c r="S5" i="5"/>
  <c r="S10" i="5"/>
  <c r="S16" i="5"/>
  <c r="S22" i="5"/>
  <c r="S28" i="5"/>
  <c r="S34" i="5"/>
  <c r="S40" i="5"/>
  <c r="S46" i="5"/>
  <c r="S52" i="5"/>
  <c r="S58" i="5"/>
  <c r="S64" i="5"/>
  <c r="S70" i="5"/>
  <c r="S76" i="5"/>
  <c r="S82" i="5"/>
  <c r="S88" i="5"/>
  <c r="S11" i="5"/>
  <c r="S17" i="5"/>
  <c r="S23" i="5"/>
  <c r="S29" i="5"/>
  <c r="S35" i="5"/>
  <c r="S41" i="5"/>
  <c r="S47" i="5"/>
  <c r="S53" i="5"/>
  <c r="S59" i="5"/>
  <c r="S65" i="5"/>
  <c r="S71" i="5"/>
  <c r="S77" i="5"/>
  <c r="S83" i="5"/>
  <c r="C12" i="6" l="1"/>
  <c r="B71" i="4"/>
  <c r="A52" i="6" s="1"/>
  <c r="B53" i="4"/>
  <c r="A37" i="6" s="1"/>
  <c r="B69" i="4"/>
  <c r="A50" i="6" s="1"/>
  <c r="B51" i="4"/>
  <c r="A35" i="6" s="1"/>
  <c r="B57" i="4"/>
  <c r="A40" i="6" s="1"/>
  <c r="A25" i="6"/>
  <c r="B33" i="4"/>
  <c r="A20" i="6" s="1"/>
  <c r="C40" i="6"/>
  <c r="G64" i="6"/>
  <c r="H69" i="6"/>
  <c r="D74" i="4"/>
  <c r="D49" i="4"/>
  <c r="D67" i="4"/>
  <c r="D43" i="4"/>
  <c r="G67" i="4"/>
  <c r="D37" i="4"/>
  <c r="C69" i="6"/>
  <c r="B68" i="4"/>
  <c r="A49" i="6" s="1"/>
  <c r="G49" i="4"/>
  <c r="D55" i="4"/>
  <c r="T83" i="5"/>
  <c r="T11" i="5"/>
  <c r="T22" i="5"/>
  <c r="T45" i="5"/>
  <c r="T56" i="5"/>
  <c r="T67" i="5"/>
  <c r="T78" i="5"/>
  <c r="T6" i="5"/>
  <c r="T16" i="5"/>
  <c r="T39" i="5"/>
  <c r="T50" i="5"/>
  <c r="T61" i="5"/>
  <c r="T72" i="5"/>
  <c r="T77" i="5"/>
  <c r="T88" i="5"/>
  <c r="T71" i="5"/>
  <c r="T82" i="5"/>
  <c r="T10" i="5"/>
  <c r="T33" i="5"/>
  <c r="T44" i="5"/>
  <c r="T55" i="5"/>
  <c r="T66" i="5"/>
  <c r="T5" i="5"/>
  <c r="T27" i="5"/>
  <c r="T38" i="5"/>
  <c r="T49" i="5"/>
  <c r="T60" i="5"/>
  <c r="T65" i="5"/>
  <c r="T76" i="5"/>
  <c r="T59" i="5"/>
  <c r="T70" i="5"/>
  <c r="T21" i="5"/>
  <c r="T32" i="5"/>
  <c r="T43" i="5"/>
  <c r="T54" i="5"/>
  <c r="T87" i="5"/>
  <c r="T15" i="5"/>
  <c r="T26" i="5"/>
  <c r="T37" i="5"/>
  <c r="T48" i="5"/>
  <c r="T53" i="5"/>
  <c r="T64" i="5"/>
  <c r="T47" i="5"/>
  <c r="T58" i="5"/>
  <c r="T81" i="5"/>
  <c r="T9" i="5"/>
  <c r="T20" i="5"/>
  <c r="T31" i="5"/>
  <c r="T42" i="5"/>
  <c r="T75" i="5"/>
  <c r="T86" i="5"/>
  <c r="T14" i="5"/>
  <c r="T25" i="5"/>
  <c r="T36" i="5"/>
  <c r="T41" i="5"/>
  <c r="T52" i="5"/>
  <c r="T35" i="5"/>
  <c r="T46" i="5"/>
  <c r="T69" i="5"/>
  <c r="T80" i="5"/>
  <c r="T8" i="5"/>
  <c r="T19" i="5"/>
  <c r="T30" i="5"/>
  <c r="T63" i="5"/>
  <c r="T74" i="5"/>
  <c r="T85" i="5"/>
  <c r="T13" i="5"/>
  <c r="T24" i="5"/>
  <c r="T12" i="5"/>
  <c r="T29" i="5"/>
  <c r="T40" i="5"/>
  <c r="T23" i="5"/>
  <c r="T34" i="5"/>
  <c r="T57" i="5"/>
  <c r="T68" i="5"/>
  <c r="T79" i="5"/>
  <c r="T7" i="5"/>
  <c r="T18" i="5"/>
  <c r="T62" i="5"/>
  <c r="T73" i="5"/>
  <c r="T84" i="5"/>
  <c r="T17" i="5"/>
  <c r="T28" i="5"/>
  <c r="T51" i="5"/>
  <c r="H64" i="6" l="1"/>
  <c r="B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<sst xmlns="http://schemas.openxmlformats.org/spreadsheetml/2006/main" count="22925" uniqueCount="15811">
  <si>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</si>
  <si>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</si>
  <si>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</si>
  <si>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</si>
  <si>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</si>
  <si>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</si>
  <si>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</si>
  <si>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</si>
  <si>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</si>
  <si>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</si>
  <si>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</si>
  <si>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</si>
  <si>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</si>
  <si>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</si>
  <si>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</si>
  <si>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</si>
  <si>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</si>
  <si>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</si>
  <si>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</si>
  <si>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</si>
  <si>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</si>
  <si>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</si>
  <si>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</si>
  <si>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</si>
  <si>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</si>
  <si>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</si>
  <si>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</si>
  <si>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</si>
  <si>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</si>
  <si>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</si>
  <si>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</si>
  <si>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</si>
  <si>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</si>
  <si>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</si>
  <si>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</si>
  <si>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</si>
  <si>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</si>
  <si>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</si>
  <si>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</si>
  <si>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</si>
  <si>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</si>
  <si>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</si>
  <si>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</si>
  <si>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</si>
  <si>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</si>
  <si>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</si>
  <si>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</si>
  <si>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</si>
  <si>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</si>
  <si>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</si>
  <si>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</si>
  <si>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</si>
  <si>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</si>
  <si>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</si>
  <si>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</si>
  <si>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</si>
  <si>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</si>
  <si>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</si>
  <si>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</si>
  <si>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</si>
  <si>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</si>
  <si>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</si>
  <si>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</si>
  <si>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</si>
  <si>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</si>
  <si>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</si>
  <si>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</si>
  <si>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</si>
  <si>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</si>
  <si>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</si>
  <si>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</si>
  <si>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</si>
  <si>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</si>
  <si>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</si>
  <si>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</si>
  <si>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</si>
  <si>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</si>
  <si>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</si>
  <si>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</si>
  <si>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</si>
  <si>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</si>
  <si>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</si>
  <si>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</si>
  <si>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</si>
  <si>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</si>
  <si>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</si>
  <si>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</si>
  <si>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</si>
  <si>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</si>
  <si>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</si>
  <si>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</si>
  <si>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</si>
  <si>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</si>
  <si>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</si>
  <si>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</si>
  <si>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</si>
  <si>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</si>
  <si>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</si>
  <si>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</si>
  <si>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</si>
  <si>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</si>
  <si>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</si>
  <si>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</si>
  <si>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</si>
  <si>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</si>
  <si>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</si>
  <si>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</si>
  <si>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</si>
  <si>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</si>
  <si>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</si>
  <si>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</si>
  <si>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</si>
  <si>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</si>
  <si>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</si>
  <si>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</si>
  <si>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</si>
  <si>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</si>
  <si>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</si>
  <si>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</si>
  <si>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</si>
  <si>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</si>
  <si>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</si>
  <si>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</si>
  <si>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</si>
  <si>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</si>
  <si>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</si>
  <si>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</si>
  <si>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</si>
  <si>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</si>
  <si>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</si>
  <si>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</si>
  <si>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</si>
  <si>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</si>
  <si>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</si>
  <si>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</si>
  <si>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</si>
  <si>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</si>
  <si>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</si>
  <si>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</si>
  <si>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</si>
  <si>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</si>
  <si>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</si>
  <si>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</si>
  <si>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</si>
  <si>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</si>
  <si>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</si>
  <si>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</si>
  <si>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</si>
  <si>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</si>
  <si>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</si>
  <si>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</si>
  <si>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</si>
  <si>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</si>
  <si>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</si>
  <si>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</si>
  <si>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</si>
  <si>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</si>
  <si>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</si>
  <si>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</si>
  <si>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</si>
  <si>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</si>
  <si>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</si>
  <si>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</si>
  <si>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</si>
  <si>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</si>
  <si>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</si>
  <si>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</si>
  <si>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</si>
  <si>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</si>
  <si>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</si>
  <si>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</si>
  <si>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</si>
  <si>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</si>
  <si>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</si>
  <si>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</si>
  <si>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</si>
  <si>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</si>
  <si>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</si>
  <si>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</si>
  <si>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</si>
  <si>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</si>
  <si>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</si>
  <si>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</si>
  <si>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</si>
  <si>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</si>
  <si>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</si>
  <si>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</si>
  <si>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</si>
  <si>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</si>
  <si>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</si>
  <si>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</si>
  <si>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</si>
  <si>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</si>
  <si>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</si>
  <si>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</si>
  <si>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</si>
  <si>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</si>
  <si>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</si>
  <si>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</si>
  <si>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</si>
  <si>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</si>
  <si>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</si>
  <si>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</si>
  <si>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</si>
  <si>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</si>
  <si>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</si>
  <si>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</si>
  <si>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</si>
  <si>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</si>
  <si>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</si>
  <si>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</si>
  <si>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</si>
  <si>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</si>
  <si>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</si>
  <si>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</si>
  <si>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</si>
  <si>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</si>
  <si>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</si>
  <si>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</si>
  <si>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</si>
  <si>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</si>
  <si>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</si>
  <si>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</si>
  <si>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</si>
  <si>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</si>
  <si>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</si>
  <si>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</si>
  <si>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</si>
  <si>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</si>
  <si>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</si>
  <si>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</si>
  <si>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</si>
  <si>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</si>
  <si>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</si>
  <si>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</si>
  <si>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</si>
  <si>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</si>
  <si>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</si>
  <si>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</si>
  <si>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</si>
  <si>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</si>
  <si>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</si>
  <si>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</si>
  <si>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</si>
  <si>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</si>
  <si>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</si>
  <si>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</si>
  <si>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</si>
  <si>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</si>
  <si>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</si>
  <si>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</si>
  <si>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</si>
  <si>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</si>
  <si>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</si>
  <si>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</si>
  <si>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</si>
  <si>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</si>
  <si>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</si>
  <si>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</si>
  <si>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</si>
  <si>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</si>
  <si>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</si>
  <si>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</si>
  <si>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</si>
  <si>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</si>
  <si>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</si>
  <si>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</si>
  <si>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</si>
  <si>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</si>
  <si>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</si>
  <si>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</si>
  <si>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</si>
  <si>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</si>
  <si>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</si>
  <si>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</si>
  <si>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</si>
  <si>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</si>
  <si>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</si>
  <si>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</si>
  <si>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</si>
  <si>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</si>
  <si>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</si>
  <si>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</si>
  <si>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</si>
  <si>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</si>
  <si>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</si>
  <si>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</si>
  <si>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</si>
  <si>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</si>
  <si>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</si>
  <si>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</si>
  <si>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</si>
  <si>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</si>
  <si>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</si>
  <si>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</si>
  <si>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</si>
  <si>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</si>
  <si>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</si>
  <si>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</si>
  <si>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</si>
  <si>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</si>
  <si>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</si>
  <si>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</si>
  <si>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</si>
  <si>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</si>
  <si>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</si>
  <si>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</si>
  <si>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</si>
  <si>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</si>
  <si>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</si>
  <si>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</si>
  <si>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</si>
  <si>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</si>
  <si>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</si>
  <si>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</si>
  <si>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</si>
  <si>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</si>
  <si>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</si>
  <si>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</si>
  <si>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</si>
  <si>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</si>
  <si>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</si>
  <si>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</si>
  <si>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</si>
  <si>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</si>
  <si>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</si>
  <si>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</si>
  <si>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</si>
  <si>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</si>
  <si>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</si>
  <si>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</si>
  <si>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</si>
  <si>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</si>
  <si>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</si>
  <si>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</si>
  <si>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</si>
  <si>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</si>
  <si>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</si>
  <si>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</si>
  <si>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</si>
  <si>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</si>
  <si>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</si>
  <si>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</si>
  <si>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</si>
  <si>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</si>
  <si>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</si>
  <si>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</si>
  <si>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</si>
  <si>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</si>
  <si>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</si>
  <si>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</si>
  <si>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</si>
  <si>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</si>
  <si>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</si>
  <si>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</si>
  <si>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</si>
  <si>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</si>
  <si>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</si>
  <si>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</si>
  <si>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</si>
  <si>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</si>
  <si>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</si>
  <si>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</si>
  <si>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</si>
  <si>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</si>
  <si>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</si>
  <si>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</si>
  <si>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</si>
  <si>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</si>
  <si>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</si>
  <si>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</si>
  <si>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</si>
  <si>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</si>
  <si>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</si>
  <si>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</si>
  <si>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</si>
  <si>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</si>
  <si>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</si>
  <si>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</si>
  <si>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</si>
  <si>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</si>
  <si>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</si>
  <si>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</si>
  <si>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</si>
  <si>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</si>
  <si>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</si>
  <si>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</si>
  <si>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</si>
  <si>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</si>
  <si>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</si>
  <si>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</si>
  <si>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</si>
  <si>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</si>
  <si>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</si>
  <si>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</si>
  <si>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</si>
  <si>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</si>
  <si>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</si>
  <si>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</si>
  <si>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</si>
  <si>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</si>
  <si>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</si>
  <si>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</si>
  <si>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</si>
  <si>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</si>
  <si>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</si>
  <si>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</si>
  <si>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</si>
  <si>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</si>
  <si>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</si>
  <si>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</si>
  <si>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</si>
  <si>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</si>
  <si>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</si>
  <si>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</si>
  <si>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</si>
  <si>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</si>
  <si>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</si>
  <si>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</si>
  <si>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</si>
  <si>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</si>
  <si>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</si>
  <si>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</si>
  <si>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</si>
  <si>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</si>
  <si>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</si>
  <si>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</si>
  <si>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</si>
  <si>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</si>
  <si>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</si>
  <si>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</si>
  <si>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</si>
  <si>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</si>
  <si>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</si>
  <si>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</si>
  <si>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</si>
  <si>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</si>
  <si>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</si>
  <si>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</si>
  <si>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</si>
  <si>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</si>
  <si>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</si>
  <si>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</si>
  <si>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</si>
  <si>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</si>
  <si>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</si>
  <si>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</si>
  <si>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</si>
  <si>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</si>
  <si>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</si>
  <si>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</si>
  <si>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</si>
  <si>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</si>
  <si>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</si>
  <si>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</si>
  <si>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</si>
  <si>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</si>
  <si>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</si>
  <si>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</si>
  <si>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</si>
  <si>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</si>
  <si>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</si>
  <si>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</si>
  <si>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</si>
  <si>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</si>
  <si>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</si>
  <si>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</si>
  <si>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</si>
  <si>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</si>
  <si>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</si>
  <si>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</si>
  <si>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</si>
  <si>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</si>
  <si>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</si>
  <si>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</si>
  <si>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</si>
  <si>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</si>
  <si>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</si>
  <si>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</si>
  <si>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</si>
  <si>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</si>
  <si>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</si>
  <si>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</si>
  <si>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</si>
  <si>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</si>
  <si>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</si>
  <si>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</si>
  <si>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</si>
  <si>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</si>
  <si>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</si>
  <si>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</si>
  <si>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</si>
  <si>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</si>
  <si>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</si>
  <si>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</si>
  <si>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</si>
  <si>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</si>
  <si>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</si>
  <si>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</si>
  <si>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</si>
  <si>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</si>
  <si>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</si>
  <si>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</si>
  <si>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</si>
  <si>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</si>
  <si>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</si>
  <si>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</si>
  <si>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</si>
  <si>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</si>
  <si>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</si>
  <si>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</si>
  <si>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</si>
  <si>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</si>
  <si>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</si>
  <si>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</si>
  <si>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</si>
  <si>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</si>
  <si>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</si>
  <si>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</si>
  <si>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</si>
  <si>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</si>
  <si>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</si>
  <si>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</si>
  <si>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</si>
  <si>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</si>
  <si>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</si>
  <si>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</si>
  <si>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</si>
  <si>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</si>
  <si>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</si>
  <si>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</si>
  <si>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</si>
  <si>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</si>
  <si>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</si>
  <si>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</si>
  <si>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</si>
  <si>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</si>
  <si>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</si>
  <si>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</si>
  <si>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</si>
  <si>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</si>
  <si>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</si>
  <si>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</si>
  <si>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</si>
  <si>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</si>
  <si>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</si>
  <si>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</si>
  <si>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</si>
  <si>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</si>
  <si>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</si>
  <si>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</si>
  <si>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</si>
  <si>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</si>
  <si>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</si>
  <si>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</si>
  <si>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</si>
  <si>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</si>
  <si>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</si>
  <si>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</si>
  <si>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</si>
  <si>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</si>
  <si>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</si>
  <si>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</si>
  <si>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</si>
  <si>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</si>
  <si>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</si>
  <si>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</si>
  <si>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</si>
  <si>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</si>
  <si>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</si>
  <si>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</si>
  <si>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</si>
  <si>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</si>
  <si>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</si>
  <si>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</si>
  <si>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</si>
  <si>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</si>
  <si>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</si>
  <si>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</si>
  <si>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</si>
  <si>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</si>
  <si>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</si>
  <si>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</si>
  <si>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</si>
  <si>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</si>
  <si>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</si>
  <si>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</si>
  <si>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</si>
  <si>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</si>
  <si>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</si>
  <si>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</si>
  <si>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</si>
  <si>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</si>
  <si>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</si>
  <si>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</si>
  <si>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</si>
  <si>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</si>
  <si>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</si>
  <si>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</si>
  <si>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</si>
  <si>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</si>
  <si>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</si>
  <si>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</si>
  <si>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</si>
  <si>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</si>
  <si>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</si>
  <si>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</si>
  <si>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</si>
  <si>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</si>
  <si>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</si>
  <si>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</si>
  <si>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</si>
  <si>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</si>
  <si>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</si>
  <si>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</si>
  <si>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</si>
  <si>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</si>
  <si>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</si>
  <si>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</si>
  <si>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</si>
  <si>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</si>
  <si>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</si>
  <si>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</si>
  <si>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</si>
  <si>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</si>
  <si>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</si>
  <si>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</si>
  <si>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</si>
  <si>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</si>
  <si>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</si>
  <si>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</si>
  <si>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</si>
  <si>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</si>
  <si>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</si>
  <si>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</si>
  <si>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</si>
  <si>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</si>
  <si>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</si>
  <si>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</si>
  <si>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</si>
  <si>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</si>
  <si>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</si>
  <si>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</si>
  <si>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</si>
  <si>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</si>
  <si>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</si>
  <si>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</si>
  <si>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</si>
  <si>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</si>
  <si>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</si>
  <si>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</si>
  <si>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</si>
  <si>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</si>
  <si>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</si>
  <si>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</si>
  <si>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</si>
  <si>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</si>
  <si>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</si>
  <si>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</si>
  <si>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</si>
  <si>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</si>
  <si>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</si>
  <si>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</si>
  <si>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</si>
  <si>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</si>
  <si>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</si>
  <si>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</si>
  <si>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</si>
  <si>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</si>
  <si>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</si>
  <si>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</si>
  <si>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</si>
  <si>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</si>
  <si>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</si>
  <si>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</si>
  <si>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</si>
  <si>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</si>
  <si>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</si>
  <si>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</si>
  <si>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</si>
  <si>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</si>
  <si>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</si>
  <si>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</si>
  <si>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</si>
  <si>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</si>
  <si>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</si>
  <si>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</si>
  <si>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</si>
  <si>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</si>
  <si>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</si>
  <si>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</si>
  <si>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</si>
  <si>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</si>
  <si>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</si>
  <si>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</si>
  <si>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</si>
  <si>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</si>
  <si>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</si>
  <si>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</si>
  <si>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</si>
  <si>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</si>
  <si>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</si>
  <si>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</si>
  <si>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</si>
  <si>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</si>
  <si>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</si>
  <si>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</si>
  <si>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</si>
  <si>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</si>
  <si>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</si>
  <si>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</si>
  <si>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</si>
  <si>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</si>
  <si>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</si>
  <si>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</si>
  <si>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</si>
  <si>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</si>
  <si>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</si>
  <si>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</si>
  <si>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</si>
  <si>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</si>
  <si>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</si>
  <si>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</si>
  <si>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</si>
  <si>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</si>
  <si>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</si>
  <si>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</si>
  <si>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</si>
  <si>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</si>
  <si>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</si>
  <si>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</si>
  <si>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</si>
  <si>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</si>
  <si>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</si>
  <si>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</si>
  <si>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</si>
  <si>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</si>
  <si>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</si>
  <si>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</si>
  <si>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</si>
  <si>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</si>
  <si>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</si>
  <si>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</si>
  <si>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</si>
  <si>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</si>
  <si>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</si>
  <si>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</si>
  <si>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</si>
  <si>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</si>
  <si>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</si>
  <si>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</si>
  <si>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</si>
  <si>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</si>
  <si>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</si>
  <si>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</si>
  <si>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</si>
  <si>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</si>
  <si>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</si>
  <si>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</si>
  <si>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</si>
  <si>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</si>
  <si>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</si>
  <si>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</si>
  <si>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</si>
  <si>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</si>
  <si>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</si>
  <si>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</si>
  <si>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</si>
  <si>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</si>
  <si>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</si>
  <si>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</si>
  <si>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</si>
  <si>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</si>
  <si>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</si>
  <si>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</si>
  <si>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</si>
  <si>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</si>
  <si>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</si>
  <si>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</si>
  <si>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</si>
  <si>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</si>
  <si>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</si>
  <si>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</si>
  <si>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</si>
  <si>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</si>
  <si>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</si>
  <si>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</si>
  <si>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</si>
  <si>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</si>
  <si>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</si>
  <si>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</si>
  <si>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</si>
  <si>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</si>
  <si>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</si>
  <si>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</si>
  <si>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</si>
  <si>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</si>
  <si>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</si>
  <si>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</si>
  <si>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</si>
  <si>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</si>
  <si>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</si>
  <si>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</si>
  <si>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</si>
  <si>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</si>
  <si>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</si>
  <si>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</si>
  <si>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</si>
  <si>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</si>
  <si>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</si>
  <si>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</si>
  <si>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</si>
  <si>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</si>
  <si>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</si>
  <si>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</si>
  <si>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</si>
  <si>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</si>
  <si>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</si>
  <si>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</si>
  <si>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</si>
  <si>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</si>
  <si>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</si>
  <si>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</si>
  <si>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</si>
  <si>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</si>
  <si>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</si>
  <si>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</si>
  <si>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</si>
  <si>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</si>
  <si>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</si>
  <si>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</si>
  <si>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</si>
  <si>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</si>
  <si>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</si>
  <si>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</si>
  <si>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</si>
  <si>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</si>
  <si>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</si>
  <si>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</si>
  <si>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</si>
  <si>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</si>
  <si>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</si>
  <si>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</si>
  <si>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</si>
  <si>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</si>
  <si>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</si>
  <si>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</si>
  <si>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</si>
  <si>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</si>
  <si>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</si>
  <si>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</si>
  <si>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</si>
  <si>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</si>
  <si>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</si>
  <si>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</si>
  <si>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</si>
  <si>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</si>
  <si>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</si>
  <si>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</si>
  <si>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</si>
  <si>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</si>
  <si>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</si>
  <si>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</si>
  <si>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</si>
  <si>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</si>
  <si>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</si>
  <si>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</si>
  <si>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</si>
  <si>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</si>
  <si>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</si>
  <si>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</si>
  <si>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</si>
  <si>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</si>
  <si>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</si>
  <si>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</si>
  <si>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</si>
  <si>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</si>
  <si>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</si>
  <si>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</si>
  <si>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</si>
  <si>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</si>
  <si>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</si>
  <si>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</si>
  <si>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</si>
  <si>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</si>
  <si>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</si>
  <si>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</si>
  <si>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</si>
  <si>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</si>
  <si>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</si>
  <si>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</si>
  <si>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</si>
  <si>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</si>
  <si>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</si>
  <si>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</si>
  <si>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</si>
  <si>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</si>
  <si>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</si>
  <si>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</si>
  <si>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</si>
  <si>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</si>
  <si>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</si>
  <si>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</si>
  <si>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</si>
  <si>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</si>
  <si>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</si>
  <si>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</si>
  <si>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</si>
  <si>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</si>
  <si>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</si>
  <si>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</si>
  <si>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</si>
  <si>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</si>
  <si>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</si>
  <si>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</si>
  <si>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</si>
  <si>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</si>
  <si>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</si>
  <si>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</si>
  <si>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</si>
  <si>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</si>
  <si>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</si>
  <si>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</si>
  <si>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</si>
  <si>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</si>
  <si>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</si>
  <si>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</si>
  <si>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</si>
  <si>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</si>
  <si>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</si>
  <si>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</si>
  <si>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</si>
  <si>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</si>
  <si>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</si>
  <si>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</si>
  <si>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</si>
  <si>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</si>
  <si>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</si>
  <si>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</si>
  <si>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</si>
  <si>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</si>
  <si>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</si>
  <si>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</si>
  <si>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</si>
  <si>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</si>
  <si>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</si>
  <si>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</si>
  <si>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</si>
  <si>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</si>
  <si>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</si>
  <si>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</si>
  <si>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</si>
  <si>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</si>
  <si>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</si>
  <si>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</si>
  <si>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</si>
  <si>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</si>
  <si>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</si>
  <si>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</si>
  <si>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</si>
  <si>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</si>
  <si>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</si>
  <si>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</si>
  <si>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</si>
  <si>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</si>
  <si>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</si>
  <si>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</si>
  <si>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</si>
  <si>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</si>
  <si>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</si>
  <si>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</si>
  <si>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</si>
  <si>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</si>
  <si>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</si>
  <si>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</si>
  <si>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</si>
  <si>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</si>
  <si>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</si>
  <si>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</si>
  <si>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</si>
  <si>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</si>
  <si>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</si>
  <si>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</si>
  <si>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</si>
  <si>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</si>
  <si>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</si>
  <si>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</si>
  <si>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</si>
  <si>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</si>
  <si>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</si>
  <si>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</si>
  <si>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</si>
  <si>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</si>
  <si>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</si>
  <si>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</si>
  <si>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</si>
  <si>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</si>
  <si>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</si>
  <si>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</si>
  <si>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</si>
  <si>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</si>
  <si>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</si>
  <si>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</si>
  <si>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</si>
  <si>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</si>
  <si>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</si>
  <si>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</si>
  <si>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</si>
  <si>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</si>
  <si>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</si>
  <si>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</si>
  <si>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</si>
  <si>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</si>
  <si>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</si>
  <si>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</si>
  <si>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</si>
  <si>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</si>
  <si>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</si>
  <si>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</si>
  <si>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</si>
  <si>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</si>
  <si>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</si>
  <si>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</si>
  <si>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</si>
  <si>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</si>
  <si>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</si>
  <si>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</si>
  <si>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</si>
  <si>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</si>
  <si>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</si>
  <si>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</si>
  <si>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</si>
  <si>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</si>
  <si>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</si>
  <si>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</si>
  <si>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</si>
  <si>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</si>
  <si>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</si>
  <si>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</si>
  <si>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</si>
  <si>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</si>
  <si>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</si>
  <si>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</si>
  <si>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</si>
  <si>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</si>
  <si>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</si>
  <si>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</si>
  <si>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</si>
  <si>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</si>
  <si>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</si>
  <si>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</si>
  <si>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</si>
  <si>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</si>
  <si>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</si>
  <si>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</si>
  <si>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</si>
  <si>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</si>
  <si>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</si>
  <si>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</si>
  <si>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</si>
  <si>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</si>
  <si>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</si>
  <si>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</si>
  <si>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</si>
  <si>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</si>
  <si>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</si>
  <si>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</si>
  <si>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</si>
  <si>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</si>
  <si>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</si>
  <si>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</si>
  <si>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</si>
  <si>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</si>
  <si>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</si>
  <si>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</si>
  <si>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</si>
  <si>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</si>
  <si>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</si>
  <si>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</si>
  <si>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</si>
  <si>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</si>
  <si>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</si>
  <si>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</si>
  <si>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</si>
  <si>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</si>
  <si>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</si>
  <si>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</si>
  <si>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</si>
  <si>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</si>
  <si>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</si>
  <si>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</si>
  <si>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</si>
  <si>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</si>
  <si>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</si>
  <si>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</si>
  <si>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</si>
  <si>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</si>
  <si>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</si>
  <si>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</si>
  <si>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</si>
  <si>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</si>
  <si>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</si>
  <si>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</si>
  <si>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</si>
  <si>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</si>
  <si>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</si>
  <si>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</si>
  <si>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</si>
  <si>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</si>
  <si>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</si>
  <si>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</si>
  <si>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</si>
  <si>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</si>
  <si>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</si>
  <si>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</si>
  <si>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</si>
  <si>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</si>
  <si>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</si>
  <si>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</si>
  <si>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</si>
  <si>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</si>
  <si>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</si>
  <si>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</si>
  <si>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</si>
  <si>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</si>
  <si>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</si>
  <si>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</si>
  <si>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</si>
  <si>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</si>
  <si>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</si>
  <si>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</si>
  <si>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</si>
  <si>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</si>
  <si>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</si>
  <si>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</si>
  <si>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</si>
  <si>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</si>
  <si>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</si>
  <si>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</si>
  <si>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</si>
  <si>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</si>
  <si>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</si>
  <si>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</si>
  <si>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</si>
  <si>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</si>
  <si>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</si>
  <si>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</si>
  <si>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</si>
  <si>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</si>
  <si>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</si>
  <si>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</si>
  <si>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</si>
  <si>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</si>
  <si>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</si>
  <si>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</si>
  <si>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</si>
  <si>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</si>
  <si>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</si>
  <si>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</si>
  <si>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</si>
  <si>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</si>
  <si>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</si>
  <si>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</si>
  <si>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</si>
  <si>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</si>
  <si>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</si>
  <si>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</si>
  <si>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</si>
  <si>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</si>
  <si>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</si>
  <si>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</si>
  <si>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</si>
  <si>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</si>
  <si>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</si>
  <si>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</si>
  <si>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</si>
  <si>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</si>
  <si>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</si>
  <si>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</si>
  <si>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</si>
  <si>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</si>
  <si>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</si>
  <si>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</si>
  <si>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</si>
  <si>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</si>
  <si>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</si>
  <si>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</si>
  <si>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</si>
  <si>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</si>
  <si>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</si>
  <si>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</si>
  <si>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</si>
  <si>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</si>
  <si>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</si>
  <si>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</si>
  <si>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</si>
  <si>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</si>
  <si>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</si>
  <si>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</si>
  <si>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</si>
  <si>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</si>
  <si>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</si>
  <si>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</si>
  <si>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</si>
  <si>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</si>
  <si>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</si>
  <si>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</si>
  <si>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</si>
  <si>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</si>
  <si>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</si>
  <si>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</si>
  <si>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</si>
  <si>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</si>
  <si>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</si>
  <si>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</si>
  <si>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</si>
  <si>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</si>
  <si>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</si>
  <si>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</si>
  <si>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</si>
  <si>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</si>
  <si>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</si>
  <si>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</si>
  <si>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</si>
  <si>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</si>
  <si>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</si>
  <si>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</si>
  <si>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</si>
  <si>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</si>
  <si>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</si>
  <si>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</si>
  <si>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</si>
  <si>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</si>
  <si>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</si>
  <si>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</si>
  <si>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</si>
  <si>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</si>
  <si>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</si>
  <si>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</si>
  <si>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</si>
  <si>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</si>
  <si>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</si>
  <si>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</si>
  <si>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</si>
  <si>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</si>
  <si>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</si>
  <si>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</si>
  <si>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</si>
  <si>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</si>
  <si>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</si>
  <si>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</si>
  <si>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</si>
  <si>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</si>
  <si>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</si>
  <si>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</si>
  <si>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</si>
  <si>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</si>
  <si>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</si>
  <si>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</si>
  <si>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</si>
  <si>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</si>
  <si>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</si>
  <si>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</si>
  <si>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</si>
  <si>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</si>
  <si>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</si>
  <si>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</si>
  <si>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</si>
  <si>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</si>
  <si>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</si>
  <si>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</si>
  <si>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</si>
  <si>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</si>
  <si>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</si>
  <si>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</si>
  <si>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</si>
  <si>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</si>
  <si>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</si>
  <si>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</si>
  <si>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</si>
  <si>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</si>
  <si>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</si>
  <si>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</si>
  <si>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</si>
  <si>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</si>
  <si>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</si>
  <si>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</si>
  <si>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</si>
  <si>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</si>
  <si>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</si>
  <si>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</si>
  <si>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</si>
  <si>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</si>
  <si>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</si>
  <si>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</si>
  <si>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</si>
  <si>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</si>
  <si>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</si>
  <si>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</si>
  <si>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</si>
  <si>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</si>
  <si>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</si>
  <si>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</si>
  <si>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</si>
  <si>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</si>
  <si>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</si>
  <si>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</si>
  <si>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</si>
  <si>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</si>
  <si>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</si>
  <si>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</si>
  <si>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</si>
  <si>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</si>
  <si>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</si>
  <si>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</si>
  <si>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</si>
  <si>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</si>
  <si>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</si>
  <si>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</si>
  <si>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</si>
  <si>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</si>
  <si>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</si>
  <si>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</si>
  <si>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</si>
  <si>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</si>
  <si>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</si>
  <si>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</si>
  <si>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</si>
  <si>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</si>
  <si>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</si>
  <si>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</si>
  <si>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</si>
  <si>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</si>
  <si>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</si>
  <si>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</si>
  <si>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</si>
  <si>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</si>
  <si>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</si>
  <si>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</si>
  <si>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</si>
  <si>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</si>
  <si>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</si>
  <si>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</si>
  <si>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</si>
  <si>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</si>
  <si>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</si>
  <si>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</si>
  <si>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</si>
  <si>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</si>
  <si>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</si>
  <si>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</si>
  <si>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</si>
  <si>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</si>
  <si>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</si>
  <si>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</si>
  <si>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</si>
  <si>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</si>
  <si>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</si>
  <si>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</si>
  <si>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</si>
  <si>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</si>
  <si>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</si>
  <si>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</si>
  <si>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</si>
  <si>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</si>
  <si>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</si>
  <si>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</si>
  <si>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</si>
  <si>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</si>
  <si>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</si>
  <si>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</si>
  <si>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</si>
  <si>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</si>
  <si>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</si>
  <si>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</si>
  <si>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</si>
  <si>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</si>
  <si>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</si>
  <si>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</si>
  <si>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</si>
  <si>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</si>
  <si>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</si>
  <si>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</si>
  <si>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</si>
  <si>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</si>
  <si>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</si>
  <si>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</si>
  <si>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</si>
  <si>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</si>
  <si>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</si>
  <si>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</si>
  <si>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</si>
  <si>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</si>
  <si>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</si>
  <si>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</si>
  <si>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</si>
  <si>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</si>
  <si>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</si>
  <si>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</si>
  <si>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</si>
  <si>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</si>
  <si>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</si>
  <si>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</si>
  <si>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</si>
  <si>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</si>
  <si>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</si>
  <si>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</si>
  <si>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</si>
  <si>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</si>
  <si>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</si>
  <si>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</si>
  <si>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</si>
  <si>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</si>
  <si>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</si>
  <si>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</si>
  <si>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</si>
  <si>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</si>
  <si>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</si>
  <si>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</si>
  <si>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</si>
  <si>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</si>
  <si>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</si>
  <si>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</si>
  <si>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</si>
  <si>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</si>
  <si>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</si>
  <si>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</si>
  <si>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</si>
  <si>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</si>
  <si>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</si>
  <si>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</si>
  <si>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</si>
  <si>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</si>
  <si>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</si>
  <si>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</si>
  <si>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</si>
  <si>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</si>
  <si>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</si>
  <si>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</si>
  <si>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</si>
  <si>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</si>
  <si>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</si>
  <si>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</si>
  <si>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</si>
  <si>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</si>
  <si>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</si>
  <si>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</si>
  <si>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</si>
  <si>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</si>
  <si>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</si>
  <si>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</si>
  <si>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</si>
  <si>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</si>
  <si>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</si>
  <si>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</si>
  <si>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</si>
  <si>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</si>
  <si>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</si>
  <si>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</si>
  <si>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</si>
  <si>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</si>
  <si>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</si>
  <si>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</si>
  <si>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</si>
  <si>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</si>
  <si>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</si>
  <si>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</si>
  <si>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</si>
  <si>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</si>
  <si>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</si>
  <si>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</si>
  <si>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</si>
  <si>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</si>
  <si>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</si>
  <si>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</si>
  <si>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</si>
  <si>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</si>
  <si>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</si>
  <si>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</si>
  <si>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</si>
  <si>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</si>
  <si>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</si>
  <si>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</si>
  <si>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</si>
  <si>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</si>
  <si>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</si>
  <si>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</si>
  <si>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</si>
  <si>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</si>
  <si>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</si>
  <si>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</si>
  <si>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</si>
  <si>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</si>
  <si>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</si>
  <si>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</si>
  <si>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</si>
  <si>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</si>
  <si>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</si>
  <si>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</si>
  <si>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</si>
  <si>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</si>
  <si>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</si>
  <si>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</si>
  <si>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</si>
  <si>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</si>
  <si>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</si>
  <si>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</si>
  <si>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</si>
  <si>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</si>
  <si>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</si>
  <si>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</si>
  <si>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</si>
  <si>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</si>
  <si>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</si>
  <si>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</si>
  <si>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</si>
  <si>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</si>
  <si>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</si>
  <si>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</si>
  <si>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</si>
  <si>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</si>
  <si>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</si>
  <si>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</si>
  <si>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</si>
  <si>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</si>
  <si>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</si>
  <si>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</si>
  <si>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</si>
  <si>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</si>
  <si>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</si>
  <si>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</si>
  <si>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</si>
  <si>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</si>
  <si>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</si>
  <si>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</si>
  <si>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</si>
  <si>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</si>
  <si>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</si>
  <si>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</si>
  <si>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</si>
  <si>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</si>
  <si>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</si>
  <si>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</si>
  <si>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</si>
  <si>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</si>
  <si>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</si>
  <si>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</si>
  <si>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</si>
  <si>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</si>
  <si>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</si>
  <si>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</si>
  <si>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</si>
  <si>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</si>
  <si>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</si>
  <si>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</si>
  <si>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</si>
  <si>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</si>
  <si>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</si>
  <si>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</si>
  <si>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</si>
  <si>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</si>
  <si>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</si>
  <si>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</si>
  <si>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</si>
  <si>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</si>
  <si>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</si>
  <si>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</si>
  <si>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</si>
  <si>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</si>
  <si>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</si>
  <si>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</si>
  <si>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</si>
  <si>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</si>
  <si>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</si>
  <si>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</si>
  <si>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</si>
  <si>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</si>
  <si>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</si>
  <si>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</si>
  <si>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</si>
  <si>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</si>
  <si>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</si>
  <si>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</si>
  <si>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</si>
  <si>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</si>
  <si>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</si>
  <si>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</si>
  <si>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</si>
  <si>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</si>
  <si>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</si>
  <si>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</si>
  <si>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</si>
  <si>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</si>
  <si>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</si>
  <si>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</si>
  <si>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</si>
  <si>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</si>
  <si>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</si>
  <si>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</si>
  <si>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</si>
  <si>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</si>
  <si>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</si>
  <si>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</si>
  <si>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</si>
  <si>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</si>
  <si>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</si>
  <si>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</si>
  <si>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</si>
  <si>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</si>
  <si>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</si>
  <si>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</si>
  <si>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</si>
  <si>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</si>
  <si>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</si>
  <si>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</si>
  <si>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</si>
  <si>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</si>
  <si>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</si>
  <si>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</si>
  <si>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</si>
  <si>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</si>
  <si>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</si>
  <si>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</si>
  <si>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</si>
  <si>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</si>
  <si>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</si>
  <si>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</si>
  <si>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</si>
  <si>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</si>
  <si>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</si>
  <si>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</si>
  <si>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</si>
  <si>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</si>
  <si>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</si>
  <si>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</si>
  <si>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</si>
  <si>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</si>
  <si>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</si>
  <si>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</si>
  <si>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</si>
  <si>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</si>
  <si>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</si>
  <si>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</si>
  <si>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</si>
  <si>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</si>
  <si>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</si>
  <si>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</si>
  <si>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</si>
  <si>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</si>
  <si>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</si>
  <si>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</si>
  <si>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</si>
  <si>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</si>
  <si>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</si>
  <si>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</si>
  <si>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</si>
  <si>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</si>
  <si>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</si>
  <si>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</si>
  <si>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</si>
  <si>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</si>
  <si>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</si>
  <si>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</si>
  <si>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</si>
  <si>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</si>
  <si>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</si>
  <si>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</si>
  <si>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</si>
  <si>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</si>
  <si>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</si>
  <si>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</si>
  <si>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</si>
  <si>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</si>
  <si>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</si>
  <si>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</si>
  <si>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</si>
  <si>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</si>
  <si>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</si>
  <si>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</si>
  <si>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</si>
  <si>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</si>
  <si>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</si>
  <si>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</si>
  <si>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</si>
  <si>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</si>
  <si>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</si>
  <si>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</si>
  <si>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</si>
  <si>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</si>
  <si>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</si>
  <si>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</si>
  <si>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</si>
  <si>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</si>
  <si>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</si>
  <si>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</si>
  <si>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</si>
  <si>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</si>
  <si>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</si>
  <si>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</si>
  <si>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</si>
  <si>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</si>
  <si>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</si>
  <si>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</si>
  <si>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</si>
  <si>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</si>
  <si>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</si>
  <si>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</si>
  <si>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</si>
  <si>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</si>
  <si>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</si>
  <si>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</si>
  <si>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</si>
  <si>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</si>
  <si>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</si>
  <si>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</si>
  <si>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</si>
  <si>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</si>
  <si>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</si>
  <si>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</si>
  <si>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</si>
  <si>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</si>
  <si>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</si>
  <si>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</si>
  <si>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</si>
  <si>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</si>
  <si>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</si>
  <si>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</si>
  <si>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</si>
  <si>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</si>
  <si>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</si>
  <si>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</si>
  <si>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</si>
  <si>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</si>
  <si>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</si>
  <si>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</si>
  <si>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</si>
  <si>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</si>
  <si>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</si>
  <si>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</si>
  <si>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</si>
  <si>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</si>
  <si>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</si>
  <si>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</si>
  <si>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</si>
  <si>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</si>
  <si>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</si>
  <si>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</si>
  <si>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</si>
  <si>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</si>
  <si>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</si>
  <si>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</si>
  <si>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</si>
  <si>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</si>
  <si>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</si>
  <si>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</si>
  <si>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</si>
  <si>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</si>
  <si>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</si>
  <si>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</si>
  <si>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</si>
  <si>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</si>
  <si>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</si>
  <si>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</si>
  <si>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</si>
  <si>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</si>
  <si>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</si>
  <si>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</si>
  <si>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</si>
  <si>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</si>
  <si>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</si>
  <si>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</si>
  <si>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</si>
  <si>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</si>
  <si>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</si>
  <si>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</si>
  <si>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</si>
  <si>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</si>
  <si>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</si>
  <si>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</si>
  <si>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</si>
  <si>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</si>
  <si>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</si>
  <si>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</si>
  <si>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</si>
  <si>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</si>
  <si>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</si>
  <si>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</si>
  <si>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</si>
  <si>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</si>
  <si>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</si>
  <si>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</si>
  <si>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</si>
  <si>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</si>
  <si>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</si>
  <si>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</si>
  <si>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</si>
  <si>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</si>
  <si>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</si>
  <si>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</si>
  <si>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</si>
  <si>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</si>
  <si>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</si>
  <si>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</si>
  <si>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</si>
  <si>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</si>
  <si>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</si>
  <si>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</si>
  <si>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</si>
  <si>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</si>
  <si>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</si>
  <si>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</si>
  <si>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</si>
  <si>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</si>
  <si>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</si>
  <si>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</si>
  <si>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</si>
  <si>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</si>
  <si>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</si>
  <si>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</si>
  <si>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</si>
  <si>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</si>
  <si>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</si>
  <si>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</si>
  <si>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</si>
  <si>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</si>
  <si>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</si>
  <si>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</si>
  <si>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</si>
  <si>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</si>
  <si>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</si>
  <si>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</si>
  <si>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</si>
  <si>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</si>
  <si>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</si>
  <si>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</si>
  <si>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</si>
  <si>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</si>
  <si>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</si>
  <si>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</si>
  <si>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</si>
  <si>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</si>
  <si>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</si>
  <si>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</si>
  <si>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</si>
  <si>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</si>
  <si>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</si>
  <si>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</si>
  <si>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</si>
  <si>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</si>
  <si>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</si>
  <si>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</si>
  <si>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</si>
  <si>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</si>
  <si>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</si>
  <si>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</si>
  <si>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</si>
  <si>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</si>
  <si>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</si>
  <si>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</si>
  <si>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</si>
  <si>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</si>
  <si>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</si>
  <si>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</si>
  <si>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</si>
  <si>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</si>
  <si>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</si>
  <si>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</si>
  <si>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</si>
  <si>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</si>
  <si>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</si>
  <si>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</si>
  <si>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</si>
  <si>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</si>
  <si>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</si>
  <si>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</si>
  <si>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</si>
  <si>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</si>
  <si>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</si>
  <si>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</si>
  <si>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</si>
  <si>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</si>
  <si>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</si>
  <si>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</si>
  <si>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</si>
  <si>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</si>
  <si>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</si>
  <si>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</si>
  <si>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</si>
  <si>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</si>
  <si>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</si>
  <si>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</si>
  <si>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</si>
  <si>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</si>
  <si>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</si>
  <si>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</si>
  <si>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</si>
  <si>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</si>
  <si>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</si>
  <si>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</si>
  <si>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</si>
  <si>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</si>
  <si>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</si>
  <si>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</si>
  <si>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</si>
  <si>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</si>
  <si>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</si>
  <si>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</si>
  <si>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</si>
  <si>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</si>
  <si>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</si>
  <si>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</si>
  <si>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</si>
  <si>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</si>
  <si>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</si>
  <si>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</si>
  <si>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</si>
  <si>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</si>
  <si>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</si>
  <si>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</si>
  <si>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</si>
  <si>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</si>
  <si>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</si>
  <si>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</si>
  <si>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</si>
  <si>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</si>
  <si>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</si>
  <si>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</si>
  <si>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</si>
  <si>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</si>
  <si>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</si>
  <si>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</si>
  <si>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</si>
  <si>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</si>
  <si>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</si>
  <si>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</si>
  <si>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</si>
  <si>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</si>
  <si>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</si>
  <si>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</si>
  <si>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</si>
  <si>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</si>
  <si>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</si>
  <si>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</si>
  <si>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</si>
  <si>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</si>
  <si>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</si>
  <si>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</si>
  <si>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</si>
  <si>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</si>
  <si>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</si>
  <si>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</si>
  <si>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</si>
  <si>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</si>
  <si>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</si>
  <si>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</si>
  <si>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</si>
  <si>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</si>
  <si>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</si>
  <si>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</si>
  <si>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</si>
  <si>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</si>
  <si>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</si>
  <si>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</si>
  <si>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</si>
  <si>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</si>
  <si>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</si>
  <si>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</si>
  <si>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</si>
  <si>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</si>
  <si>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</si>
  <si>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</si>
  <si>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</si>
  <si>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</si>
  <si>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</si>
  <si>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</si>
  <si>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</si>
  <si>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</si>
  <si>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</si>
  <si>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</si>
  <si>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</si>
  <si>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</si>
  <si>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</si>
  <si>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</si>
  <si>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</si>
  <si>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</si>
  <si>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</si>
  <si>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</si>
  <si>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</si>
  <si>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</si>
  <si>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</si>
  <si>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</si>
  <si>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</si>
  <si>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</si>
  <si>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</si>
  <si>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</si>
  <si>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</si>
  <si>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</si>
  <si>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</si>
  <si>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</si>
  <si>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</si>
  <si>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</si>
  <si>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</si>
  <si>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</si>
  <si>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</si>
  <si>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</si>
  <si>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</si>
  <si>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</si>
  <si>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</si>
  <si>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</si>
  <si>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</si>
  <si>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</si>
  <si>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</si>
  <si>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</si>
  <si>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</si>
  <si>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</si>
  <si>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</si>
  <si>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</si>
  <si>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</si>
  <si>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</si>
  <si>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</si>
  <si>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</si>
  <si>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</si>
  <si>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</si>
  <si>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</si>
  <si>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</si>
  <si>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</si>
  <si>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</si>
  <si>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</si>
  <si>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</si>
  <si>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</si>
  <si>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</si>
  <si>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</si>
  <si>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</si>
  <si>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</si>
  <si>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</si>
  <si>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</si>
  <si>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</si>
  <si>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</si>
  <si>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</si>
  <si>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</si>
  <si>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</si>
  <si>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</si>
  <si>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</si>
  <si>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</si>
  <si>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</si>
  <si>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</si>
  <si>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</si>
  <si>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</si>
  <si>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</si>
  <si>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</si>
  <si>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</si>
  <si>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</si>
  <si>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</si>
  <si>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</si>
  <si>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</si>
  <si>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</si>
  <si>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</si>
  <si>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</si>
  <si>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</si>
  <si>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</si>
  <si>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</si>
  <si>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</si>
  <si>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</si>
  <si>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</si>
  <si>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</si>
  <si>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</si>
  <si>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</si>
  <si>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</si>
  <si>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</si>
  <si>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</si>
  <si>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</si>
  <si>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</si>
  <si>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</si>
  <si>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</si>
  <si>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</si>
  <si>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</si>
  <si>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</si>
  <si>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</si>
  <si>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</si>
  <si>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</si>
  <si>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</si>
  <si>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</si>
  <si>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</si>
  <si>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</si>
  <si>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</si>
  <si>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</si>
  <si>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</si>
  <si>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</si>
  <si>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</si>
  <si>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</si>
  <si>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</si>
  <si>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</si>
  <si>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</si>
  <si>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</si>
  <si>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</si>
  <si>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</si>
  <si>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</si>
  <si>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</si>
  <si>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</si>
  <si>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</si>
  <si>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</si>
  <si>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</si>
  <si>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</si>
  <si>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</si>
  <si>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</si>
  <si>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</si>
  <si>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</si>
  <si>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</si>
  <si>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</si>
  <si>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</si>
  <si>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</si>
  <si>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</si>
  <si>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</si>
  <si>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</si>
  <si>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</si>
  <si>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</si>
  <si>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</si>
  <si>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</si>
  <si>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</si>
  <si>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</si>
  <si>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</si>
  <si>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</si>
  <si>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</si>
  <si>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</si>
  <si>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</si>
  <si>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</si>
  <si>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</si>
  <si>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</si>
  <si>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</si>
  <si>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</si>
  <si>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</si>
  <si>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</si>
  <si>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</si>
  <si>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</si>
  <si>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</si>
  <si>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</si>
  <si>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</si>
  <si>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</si>
  <si>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</si>
  <si>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</si>
  <si>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</si>
  <si>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</si>
  <si>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</si>
  <si>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</si>
  <si>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</si>
  <si>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</si>
  <si>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</si>
  <si>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</si>
  <si>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</si>
  <si>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</si>
  <si>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</si>
  <si>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</si>
  <si>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</si>
  <si>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</si>
  <si>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</si>
  <si>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</si>
  <si>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</si>
  <si>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</si>
  <si>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</si>
  <si>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</si>
  <si>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</si>
  <si>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</si>
  <si>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</si>
  <si>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</si>
  <si>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</si>
  <si>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</si>
  <si>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</si>
  <si>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</si>
  <si>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</si>
  <si>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</si>
  <si>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</si>
  <si>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</si>
  <si>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</si>
  <si>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</si>
  <si>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</si>
  <si>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</si>
  <si>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</si>
  <si>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</si>
  <si>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</si>
  <si>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</si>
  <si>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</si>
  <si>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</si>
  <si>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</si>
  <si>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</si>
  <si>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</si>
  <si>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</si>
  <si>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</si>
  <si>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</si>
  <si>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</si>
  <si>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</si>
  <si>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</si>
  <si>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</si>
  <si>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</si>
  <si>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</si>
  <si>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</si>
  <si>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</si>
  <si>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</si>
  <si>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</si>
  <si>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</si>
  <si>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</si>
  <si>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</si>
  <si>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</si>
  <si>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</si>
  <si>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</si>
  <si>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</si>
  <si>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</si>
  <si>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</si>
  <si>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</si>
  <si>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</si>
  <si>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</si>
  <si>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</si>
  <si>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</si>
  <si>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</si>
  <si>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</si>
  <si>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</si>
  <si>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</si>
  <si>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</si>
  <si>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</si>
  <si>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</si>
  <si>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</si>
  <si>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</si>
  <si>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</si>
  <si>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</si>
  <si>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</si>
  <si>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</si>
  <si>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</si>
  <si>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</si>
  <si>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</si>
  <si>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</si>
  <si>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</si>
  <si>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</si>
  <si>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</si>
  <si>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</si>
  <si>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</si>
  <si>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</si>
  <si>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</si>
  <si>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</si>
  <si>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</si>
  <si>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</si>
  <si>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</si>
  <si>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</si>
  <si>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</si>
  <si>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</si>
  <si>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</si>
  <si>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</si>
  <si>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</si>
  <si>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</si>
  <si>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</si>
  <si>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</si>
  <si>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</si>
  <si>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</si>
  <si>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</si>
  <si>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</si>
  <si>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</si>
  <si>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</si>
  <si>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</si>
  <si>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</si>
  <si>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</si>
  <si>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</si>
  <si>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</si>
  <si>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</si>
  <si>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</si>
  <si>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</si>
  <si>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</si>
  <si>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</si>
  <si>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</si>
  <si>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</si>
  <si>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</si>
  <si>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</si>
  <si>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</si>
  <si>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</si>
  <si>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</si>
  <si>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</si>
  <si>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</si>
  <si>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</si>
  <si>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</si>
  <si>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</si>
  <si>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</si>
  <si>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</si>
  <si>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</si>
  <si>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</si>
  <si>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</si>
  <si>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</si>
  <si>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</si>
  <si>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</si>
  <si>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</si>
  <si>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</si>
  <si>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</si>
  <si>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</si>
  <si>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</si>
  <si>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</si>
  <si>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</si>
  <si>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</si>
  <si>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</si>
  <si>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</si>
  <si>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</si>
  <si>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</si>
  <si>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</si>
  <si>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</si>
  <si>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</si>
  <si>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</si>
  <si>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</si>
  <si>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</si>
  <si>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</si>
  <si>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</si>
  <si>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</si>
  <si>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</si>
  <si>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</si>
  <si>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</si>
  <si>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</si>
  <si>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</si>
  <si>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</si>
  <si>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</si>
  <si>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</si>
  <si>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</si>
  <si>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</si>
  <si>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</si>
  <si>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</si>
  <si>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</si>
  <si>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</si>
  <si>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</si>
  <si>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</si>
  <si>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</si>
  <si>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</si>
  <si>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</si>
  <si>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</si>
  <si>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</si>
  <si>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</si>
  <si>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</si>
  <si>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</si>
  <si>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</si>
  <si>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</si>
  <si>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</si>
  <si>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</si>
  <si>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</si>
  <si>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</si>
  <si>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</si>
  <si>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</si>
  <si>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</si>
  <si>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</si>
  <si>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</si>
  <si>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</si>
  <si>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</si>
  <si>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</si>
  <si>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</si>
  <si>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</si>
  <si>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</si>
  <si>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</si>
  <si>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</si>
  <si>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</si>
  <si>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</si>
  <si>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</si>
  <si>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</si>
  <si>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</si>
  <si>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</si>
  <si>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</si>
  <si>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</si>
  <si>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</si>
  <si>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</si>
  <si>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</si>
  <si>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</si>
  <si>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</si>
  <si>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</si>
  <si>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</si>
  <si>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</si>
  <si>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</si>
  <si>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</si>
  <si>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</si>
  <si>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</si>
  <si>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</si>
  <si>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</si>
  <si>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</si>
  <si>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</si>
  <si>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</si>
  <si>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</si>
  <si>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</si>
  <si>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</si>
  <si>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</si>
  <si>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</si>
  <si>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</si>
  <si>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</si>
  <si>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</si>
  <si>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</si>
  <si>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</si>
  <si>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</si>
  <si>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</si>
  <si>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</si>
  <si>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</si>
  <si>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</si>
  <si>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</si>
  <si>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</si>
  <si>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</si>
  <si>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</si>
  <si>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</si>
  <si>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</si>
  <si>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</si>
  <si>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</si>
  <si>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</si>
  <si>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</si>
  <si>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</si>
  <si>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</si>
  <si>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</si>
  <si>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</si>
  <si>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</si>
  <si>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</si>
  <si>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</si>
  <si>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</si>
  <si>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</si>
  <si>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</si>
  <si>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</si>
  <si>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</si>
  <si>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</si>
  <si>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</si>
  <si>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</si>
  <si>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</si>
  <si>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</si>
  <si>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</si>
  <si>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</si>
  <si>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</si>
  <si>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</si>
  <si>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</si>
  <si>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</si>
  <si>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</si>
  <si>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</si>
  <si>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</si>
  <si>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</si>
  <si>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</si>
  <si>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</si>
  <si>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</si>
  <si>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</si>
  <si>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</si>
  <si>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</si>
  <si>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</si>
  <si>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</si>
  <si>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</si>
  <si>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</si>
  <si>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</si>
  <si>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</si>
  <si>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</si>
  <si>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</si>
  <si>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</si>
  <si>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</si>
  <si>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</si>
  <si>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</si>
  <si>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</si>
  <si>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</si>
  <si>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</si>
  <si>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</si>
  <si>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</si>
  <si>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</si>
  <si>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</si>
  <si>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</si>
  <si>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</si>
  <si>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</si>
  <si>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</si>
  <si>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</si>
  <si>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</si>
  <si>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</si>
  <si>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</si>
  <si>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</si>
  <si>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</si>
  <si>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</si>
  <si>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</si>
  <si>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</si>
  <si>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</si>
  <si>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</si>
  <si>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</si>
  <si>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</si>
  <si>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</si>
  <si>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</si>
  <si>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</si>
  <si>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</si>
  <si>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</si>
  <si>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</si>
  <si>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</si>
  <si>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</si>
  <si>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</si>
  <si>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</si>
  <si>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</si>
  <si>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</si>
  <si>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</si>
  <si>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</si>
  <si>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</si>
  <si>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</si>
  <si>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</si>
  <si>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</si>
  <si>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</si>
  <si>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</si>
  <si>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</si>
  <si>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</si>
  <si>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</si>
  <si>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</si>
  <si>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</si>
  <si>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</si>
  <si>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</si>
  <si>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</si>
  <si>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</si>
  <si>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</si>
  <si>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</si>
  <si>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</si>
  <si>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</si>
  <si>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</si>
  <si>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</si>
  <si>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</si>
  <si>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</si>
  <si>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</si>
  <si>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</si>
  <si>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</si>
  <si>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</si>
  <si>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</si>
  <si>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</si>
  <si>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</si>
  <si>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</si>
  <si>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</si>
  <si>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</si>
  <si>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</si>
  <si>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</si>
  <si>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</si>
  <si>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</si>
  <si>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</si>
  <si>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</si>
  <si>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</si>
  <si>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</si>
  <si>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</si>
  <si>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</si>
  <si>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</si>
  <si>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</si>
  <si>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</si>
  <si>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</si>
  <si>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</si>
  <si>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</si>
  <si>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</si>
  <si>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</si>
  <si>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</si>
  <si>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</si>
  <si>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</si>
  <si>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</si>
  <si>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</si>
  <si>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</si>
  <si>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</si>
  <si>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</si>
  <si>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</si>
  <si>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</si>
  <si>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</si>
  <si>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</si>
  <si>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</si>
  <si>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</si>
  <si>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</si>
  <si>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</si>
  <si>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</si>
  <si>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</si>
  <si>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</si>
  <si>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</si>
  <si>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</si>
  <si>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</si>
  <si>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</si>
  <si>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</si>
  <si>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</si>
  <si>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</si>
  <si>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</si>
  <si>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</si>
  <si>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</si>
  <si>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</si>
  <si>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</si>
  <si>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</si>
  <si>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</si>
  <si>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</si>
  <si>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</si>
  <si>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</si>
  <si>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</si>
  <si>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</si>
  <si>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</si>
  <si>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</si>
  <si>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</si>
  <si>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</si>
  <si>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</si>
  <si>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</si>
  <si>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</si>
  <si>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</si>
  <si>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</si>
  <si>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</si>
  <si>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</si>
  <si>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</si>
  <si>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</si>
  <si>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</si>
  <si>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</si>
  <si>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</si>
  <si>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</si>
  <si>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</si>
  <si>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</si>
  <si>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</si>
  <si>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</si>
  <si>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</si>
  <si>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</si>
  <si>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</si>
  <si>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</si>
  <si>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</si>
  <si>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</si>
  <si>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</si>
  <si>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</si>
  <si>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</si>
  <si>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</si>
  <si>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</si>
  <si>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</si>
  <si>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</si>
  <si>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</si>
  <si>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</si>
  <si>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</si>
  <si>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</si>
  <si>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</si>
  <si>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</si>
  <si>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</si>
  <si>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</si>
  <si>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</si>
  <si>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</si>
  <si>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</si>
  <si>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</si>
  <si>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</si>
  <si>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</si>
  <si>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</si>
  <si>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</si>
  <si>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</si>
  <si>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</si>
  <si>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</si>
  <si>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</si>
  <si>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</si>
  <si>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</si>
  <si>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</si>
  <si>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</si>
  <si>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</si>
  <si>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</si>
  <si>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</si>
  <si>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</si>
  <si>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</si>
  <si>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</si>
  <si>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</si>
  <si>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</si>
  <si>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</si>
  <si>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</si>
  <si>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</si>
  <si>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</si>
  <si>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</si>
  <si>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</si>
  <si>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</si>
  <si>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</si>
  <si>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</si>
  <si>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</si>
  <si>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</si>
  <si>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</si>
  <si>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</si>
  <si>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</si>
  <si>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</si>
  <si>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</si>
  <si>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</si>
  <si>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</si>
  <si>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</si>
  <si>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</si>
  <si>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</si>
  <si>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</si>
  <si>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</si>
  <si>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</si>
  <si>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</si>
  <si>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</si>
  <si>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</si>
  <si>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</si>
  <si>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</si>
  <si>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</si>
  <si>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</si>
  <si>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</si>
  <si>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</si>
  <si>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</si>
  <si>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</si>
  <si>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</si>
  <si>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</si>
  <si>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</si>
  <si>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</si>
  <si>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</si>
  <si>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</si>
  <si>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</si>
  <si>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</si>
  <si>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</si>
  <si>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</si>
  <si>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</si>
  <si>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</si>
  <si>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</si>
  <si>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</si>
  <si>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</si>
  <si>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</si>
  <si>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</si>
  <si>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</si>
  <si>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</si>
  <si>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</si>
  <si>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</si>
  <si>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</si>
  <si>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</si>
  <si>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</si>
  <si>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</si>
  <si>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</si>
  <si>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</si>
  <si>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</si>
  <si>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</si>
  <si>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</si>
  <si>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</si>
  <si>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</si>
  <si>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</si>
  <si>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</si>
  <si>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</si>
  <si>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</si>
  <si>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</si>
  <si>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</si>
  <si>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</si>
  <si>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</si>
  <si>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</si>
  <si>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</si>
  <si>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</si>
  <si>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</si>
  <si>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</si>
  <si>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</si>
  <si>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</si>
  <si>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</si>
  <si>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</si>
  <si>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</si>
  <si>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</si>
  <si>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</si>
  <si>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</si>
  <si>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</si>
  <si>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</si>
  <si>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</si>
  <si>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</si>
  <si>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</si>
  <si>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</si>
  <si>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</si>
  <si>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</si>
  <si>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</si>
  <si>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</si>
  <si>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</si>
  <si>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</si>
  <si>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</si>
  <si>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</si>
  <si>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</si>
  <si>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</si>
  <si>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</si>
  <si>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</si>
  <si>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</si>
  <si>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</si>
  <si>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</si>
  <si>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</si>
  <si>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</si>
  <si>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</si>
  <si>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</si>
  <si>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</si>
  <si>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</si>
  <si>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</si>
  <si>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</si>
  <si>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</si>
  <si>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</si>
  <si>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</si>
  <si>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</si>
  <si>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</si>
  <si>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</si>
  <si>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</si>
  <si>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</si>
  <si>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</si>
  <si>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</si>
  <si>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</si>
  <si>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</si>
  <si>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</si>
  <si>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</si>
  <si>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</si>
  <si>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</si>
  <si>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</si>
  <si>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</si>
  <si>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</si>
  <si>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</si>
  <si>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</si>
  <si>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</si>
  <si>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</si>
  <si>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</si>
  <si>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</si>
  <si>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</si>
  <si>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</si>
  <si>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</si>
  <si>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</si>
  <si>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</si>
  <si>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</si>
  <si>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</si>
  <si>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</si>
  <si>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</si>
  <si>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</si>
  <si>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</si>
  <si>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</si>
  <si>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</si>
  <si>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</si>
  <si>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</si>
  <si>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</si>
  <si>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</si>
  <si>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</si>
  <si>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</si>
  <si>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</si>
  <si>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</si>
  <si>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</si>
  <si>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</si>
  <si>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</si>
  <si>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</si>
  <si>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</si>
  <si>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</si>
  <si>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</si>
  <si>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</si>
  <si>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</si>
  <si>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</si>
  <si>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</si>
  <si>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</si>
  <si>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</si>
  <si>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</si>
  <si>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</si>
  <si>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</si>
  <si>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</si>
  <si>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</si>
  <si>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</si>
  <si>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</si>
  <si>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</si>
  <si>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</si>
  <si>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</si>
  <si>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</si>
  <si>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</si>
  <si>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</si>
  <si>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</si>
  <si>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</si>
  <si>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</si>
  <si>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</si>
  <si>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</si>
  <si>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</si>
  <si>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</si>
  <si>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</si>
  <si>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</si>
  <si>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</si>
  <si>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</si>
  <si>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</si>
  <si>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</si>
  <si>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</si>
  <si>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</si>
  <si>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</si>
  <si>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</si>
  <si>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</si>
  <si>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</si>
  <si>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</si>
  <si>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</si>
  <si>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</si>
  <si>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</si>
  <si>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</si>
  <si>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</si>
  <si>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</si>
  <si>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</si>
  <si>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</si>
  <si>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</si>
  <si>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</si>
  <si>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</si>
  <si>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</si>
  <si>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</si>
  <si>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</si>
  <si>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</si>
  <si>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</si>
  <si>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</si>
  <si>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</si>
  <si>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</si>
  <si>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</si>
  <si>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</si>
  <si>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</si>
  <si>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</si>
  <si>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</si>
  <si>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</si>
  <si>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</si>
  <si>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</si>
  <si>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</si>
  <si>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</si>
  <si>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</si>
  <si>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</si>
  <si>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</si>
  <si>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</si>
  <si>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</si>
  <si>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</si>
  <si>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</si>
  <si>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</si>
  <si>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</si>
  <si>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</si>
  <si>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</si>
  <si>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</si>
  <si>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</si>
  <si>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</si>
  <si>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</si>
  <si>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</si>
  <si>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</si>
  <si>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</si>
  <si>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</si>
  <si>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</si>
  <si>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</si>
  <si>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</si>
  <si>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</si>
  <si>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</si>
  <si>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</si>
  <si>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</si>
  <si>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</si>
  <si>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</si>
  <si>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</si>
  <si>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</si>
  <si>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</si>
  <si>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</si>
  <si>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</si>
  <si>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</si>
  <si>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</si>
  <si>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</si>
  <si>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</si>
  <si>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</si>
  <si>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</si>
  <si>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</si>
  <si>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</si>
  <si>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</si>
  <si>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</si>
  <si>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</si>
  <si>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</si>
  <si>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</si>
  <si>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</si>
  <si>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</si>
  <si>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</si>
  <si>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</si>
  <si>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</si>
  <si>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</si>
  <si>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</si>
  <si>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</si>
  <si>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</si>
  <si>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</si>
  <si>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</si>
  <si>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</si>
  <si>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</si>
  <si>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</si>
  <si>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</si>
  <si>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</si>
  <si>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</si>
  <si>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</si>
  <si>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</si>
  <si>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</si>
  <si>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</si>
  <si>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</si>
  <si>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</si>
  <si>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</si>
  <si>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</si>
  <si>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</si>
  <si>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</si>
  <si>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</si>
  <si>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</si>
  <si>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</si>
  <si>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</si>
  <si>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</si>
  <si>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</si>
  <si>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</si>
  <si>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</si>
  <si>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</si>
  <si>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</si>
  <si>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</si>
  <si>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</si>
  <si>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</si>
  <si>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</si>
  <si>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</si>
  <si>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</si>
  <si>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</si>
  <si>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</si>
  <si>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</si>
  <si>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</si>
  <si>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</si>
  <si>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</si>
  <si>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</si>
  <si>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</si>
  <si>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</si>
  <si>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</si>
  <si>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</si>
  <si>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</si>
  <si>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</si>
  <si>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</si>
  <si>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</si>
  <si>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</si>
  <si>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</si>
  <si>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</si>
  <si>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</si>
  <si>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</si>
  <si>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</si>
  <si>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</si>
  <si>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</si>
  <si>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</si>
  <si>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</si>
  <si>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</si>
  <si>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</si>
  <si>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</si>
  <si>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</si>
  <si>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</si>
  <si>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</si>
  <si>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</si>
  <si>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</si>
  <si>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</si>
  <si>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</si>
  <si>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</si>
  <si>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</si>
  <si>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</si>
  <si>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</si>
  <si>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</si>
  <si>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</si>
  <si>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</si>
  <si>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</si>
  <si>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</si>
  <si>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</si>
  <si>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</si>
  <si>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</si>
  <si>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</si>
  <si>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</si>
  <si>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</si>
  <si>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</si>
  <si>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</si>
  <si>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</si>
  <si>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</si>
  <si>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</si>
  <si>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</si>
  <si>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</si>
  <si>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</si>
  <si>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</si>
  <si>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</si>
  <si>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</si>
  <si>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</si>
  <si>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</si>
  <si>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</si>
  <si>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</si>
  <si>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</si>
  <si>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</si>
  <si>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</si>
  <si>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</si>
  <si>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</si>
  <si>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</si>
  <si>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</si>
  <si>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</si>
  <si>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</si>
  <si>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</si>
  <si>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</si>
  <si>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</si>
  <si>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</si>
  <si>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</si>
  <si>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</si>
  <si>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</si>
  <si>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</si>
  <si>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</si>
  <si>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</si>
  <si>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</si>
  <si>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</si>
  <si>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</si>
  <si>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</si>
  <si>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</si>
  <si>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</si>
  <si>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</si>
  <si>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</si>
  <si>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</si>
  <si>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</si>
  <si>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</si>
  <si>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</si>
  <si>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</si>
  <si>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</si>
  <si>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</si>
  <si>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</si>
  <si>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</si>
  <si>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</si>
  <si>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</si>
  <si>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</si>
  <si>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</si>
  <si>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</si>
  <si>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</si>
  <si>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</si>
  <si>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</si>
  <si>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</si>
  <si>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</si>
  <si>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</si>
  <si>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</si>
  <si>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</si>
  <si>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</si>
  <si>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</si>
  <si>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</si>
  <si>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</si>
  <si>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</si>
  <si>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</si>
  <si>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</si>
  <si>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</si>
  <si>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</si>
  <si>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</si>
  <si>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</si>
  <si>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</si>
  <si>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</si>
  <si>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</si>
  <si>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</si>
  <si>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</si>
  <si>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</si>
  <si>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</si>
  <si>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</si>
  <si>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</si>
  <si>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</si>
  <si>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</si>
  <si>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</si>
  <si>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</si>
  <si>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</si>
  <si>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</si>
  <si>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</si>
  <si>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</si>
  <si>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</si>
  <si>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</si>
  <si>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</si>
  <si>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</si>
  <si>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</si>
  <si>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</si>
  <si>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</si>
  <si>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</si>
  <si>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</si>
  <si>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</si>
  <si>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</si>
  <si>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</si>
  <si>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</si>
  <si>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</si>
  <si>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</si>
  <si>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</si>
  <si>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</si>
  <si>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</si>
  <si>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</si>
  <si>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</si>
  <si>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</si>
  <si>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</si>
  <si>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</si>
  <si>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</si>
  <si>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</si>
  <si>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</si>
  <si>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</si>
  <si>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</si>
  <si>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</si>
  <si>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</si>
  <si>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</si>
  <si>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</si>
  <si>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</si>
  <si>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</si>
  <si>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</si>
  <si>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</si>
  <si>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</si>
  <si>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</si>
  <si>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</si>
  <si>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</si>
  <si>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</si>
  <si>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</si>
  <si>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</si>
  <si>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</si>
  <si>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</si>
  <si>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</si>
  <si>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</si>
  <si>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</si>
  <si>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</si>
  <si>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</si>
  <si>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</si>
  <si>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</si>
  <si>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</si>
  <si>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</si>
  <si>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</si>
  <si>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</si>
  <si>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</si>
  <si>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</si>
  <si>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</si>
  <si>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</si>
  <si>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</si>
  <si>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</si>
  <si>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</si>
  <si>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</si>
  <si>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</si>
  <si>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</si>
  <si>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</si>
  <si>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</si>
  <si>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</si>
  <si>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</si>
  <si>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</si>
  <si>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</si>
  <si>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</si>
  <si>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</si>
  <si>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</si>
  <si>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</si>
  <si>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</si>
  <si>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</si>
  <si>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</si>
  <si>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</si>
  <si>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</si>
  <si>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</si>
  <si>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</si>
  <si>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</si>
  <si>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</si>
  <si>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</si>
  <si>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</si>
  <si>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</si>
  <si>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</si>
  <si>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</si>
  <si>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</si>
  <si>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</si>
  <si>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</si>
  <si>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</si>
  <si>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</si>
  <si>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</si>
  <si>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</si>
  <si>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</si>
  <si>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</si>
  <si>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</si>
  <si>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</si>
  <si>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</si>
  <si>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</si>
  <si>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</si>
  <si>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</si>
  <si>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</si>
  <si>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</si>
  <si>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</si>
  <si>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</si>
  <si>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</si>
  <si>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</si>
  <si>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</si>
  <si>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</si>
  <si>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</si>
  <si>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</si>
  <si>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</si>
  <si>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</si>
  <si>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</si>
  <si>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</si>
  <si>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</si>
  <si>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</si>
  <si>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</si>
  <si>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</si>
  <si>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</si>
  <si>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</si>
  <si>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</si>
  <si>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</si>
  <si>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</si>
  <si>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</si>
  <si>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</si>
  <si>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</si>
  <si>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</si>
  <si>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</si>
  <si>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</si>
  <si>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</si>
  <si>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</si>
  <si>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</si>
  <si>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</si>
  <si>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</si>
  <si>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</si>
  <si>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</si>
  <si>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</si>
  <si>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</si>
  <si>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</si>
  <si>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</si>
  <si>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</si>
  <si>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</si>
  <si>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</si>
  <si>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</si>
  <si>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</si>
  <si>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</si>
  <si>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</si>
  <si>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</si>
  <si>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</si>
  <si>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</si>
  <si>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</si>
  <si>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</si>
  <si>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</si>
  <si>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</si>
  <si>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</si>
  <si>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</si>
  <si>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</si>
  <si>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</si>
  <si>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</si>
  <si>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</si>
  <si>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</si>
  <si>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</si>
  <si>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</si>
  <si>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</si>
  <si>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</si>
  <si>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</si>
  <si>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</si>
  <si>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</si>
  <si>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</si>
  <si>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</si>
  <si>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</si>
  <si>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</si>
  <si>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</si>
  <si>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</si>
  <si>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</si>
  <si>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</si>
  <si>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</si>
  <si>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</si>
  <si>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</si>
  <si>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</si>
  <si>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</si>
  <si>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</si>
  <si>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</si>
  <si>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</si>
  <si>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</si>
  <si>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</si>
  <si>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</si>
  <si>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</si>
  <si>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</si>
  <si>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</si>
  <si>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</si>
  <si>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</si>
  <si>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</si>
  <si>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</si>
  <si>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</si>
  <si>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</si>
  <si>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</si>
  <si>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</si>
  <si>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</si>
  <si>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</si>
  <si>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</si>
  <si>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</si>
  <si>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</si>
  <si>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</si>
  <si>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</si>
  <si>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</si>
  <si>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</si>
  <si>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</si>
  <si>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</si>
  <si>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</si>
  <si>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</si>
  <si>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</si>
  <si>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</si>
  <si>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</si>
  <si>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</si>
  <si>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</si>
  <si>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</si>
  <si>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</si>
  <si>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</si>
  <si>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</si>
  <si>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</si>
  <si>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</si>
  <si>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</si>
  <si>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</si>
  <si>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</si>
  <si>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</si>
  <si>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</si>
  <si>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</si>
  <si>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</si>
  <si>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</si>
  <si>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</si>
  <si>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</si>
  <si>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</si>
  <si>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</si>
  <si>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</si>
  <si>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</si>
  <si>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</si>
  <si>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</si>
  <si>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</si>
  <si>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</si>
  <si>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</si>
  <si>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</si>
  <si>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</si>
  <si>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</si>
  <si>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</si>
  <si>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</si>
  <si>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</si>
  <si>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</si>
  <si>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</si>
  <si>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</si>
  <si>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</si>
  <si>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</si>
  <si>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</si>
  <si>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</si>
  <si>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</si>
  <si>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</si>
  <si>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</si>
  <si>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</si>
  <si>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</si>
  <si>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</si>
  <si>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</si>
  <si>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</si>
  <si>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</si>
  <si>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</si>
  <si>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</si>
  <si>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</si>
  <si>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</si>
  <si>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</si>
  <si>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</si>
  <si>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</si>
  <si>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</si>
  <si>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</si>
  <si>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</si>
  <si>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</si>
  <si>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</si>
  <si>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</si>
  <si>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</si>
  <si>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</si>
  <si>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</si>
  <si>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</si>
  <si>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</si>
  <si>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</si>
  <si>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</si>
  <si>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</si>
  <si>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</si>
  <si>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</si>
  <si>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</si>
  <si>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</si>
  <si>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</si>
  <si>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</si>
  <si>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</si>
  <si>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</si>
  <si>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</si>
  <si>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</si>
  <si>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</si>
  <si>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</si>
  <si>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</si>
  <si>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</si>
  <si>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</si>
  <si>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</si>
  <si>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</si>
  <si>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</si>
  <si>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</si>
  <si>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</si>
  <si>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</si>
  <si>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</si>
  <si>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</si>
  <si>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</si>
  <si>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</si>
  <si>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</si>
  <si>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</si>
  <si>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</si>
  <si>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</si>
  <si>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</si>
  <si>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</si>
  <si>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</si>
  <si>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</si>
  <si>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</si>
  <si>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</si>
  <si>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</si>
  <si>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</si>
  <si>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</si>
  <si>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</si>
  <si>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</si>
  <si>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</si>
  <si>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</si>
  <si>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</si>
  <si>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</si>
  <si>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</si>
  <si>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</si>
  <si>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</si>
  <si>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</si>
  <si>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</si>
  <si>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</si>
  <si>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</si>
  <si>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</si>
  <si>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</si>
  <si>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</si>
  <si>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</si>
  <si>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</si>
  <si>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</si>
  <si>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</si>
  <si>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</si>
  <si>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</si>
  <si>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</si>
  <si>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</si>
  <si>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</si>
  <si>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</si>
  <si>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</si>
  <si>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</si>
  <si>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</si>
  <si>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</si>
  <si>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</si>
  <si>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</si>
  <si>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</si>
  <si>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</si>
  <si>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</si>
  <si>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</si>
  <si>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</si>
  <si>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</si>
  <si>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</si>
  <si>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</si>
  <si>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</si>
  <si>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</si>
  <si>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</si>
  <si>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</si>
  <si>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</si>
  <si>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</si>
  <si>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</si>
  <si>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</si>
  <si>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</si>
  <si>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</si>
  <si>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</si>
  <si>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</si>
  <si>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</si>
  <si>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</si>
  <si>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</si>
  <si>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</si>
  <si>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</si>
  <si>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</si>
  <si>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</si>
  <si>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</si>
  <si>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</si>
  <si>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</si>
  <si>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</si>
  <si>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</si>
  <si>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</si>
  <si>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</si>
  <si>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</si>
  <si>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</si>
  <si>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</si>
  <si>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</si>
  <si>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</si>
  <si>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</si>
  <si>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</si>
  <si>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</si>
  <si>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</si>
  <si>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</si>
  <si>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</si>
  <si>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</si>
  <si>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</si>
  <si>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</si>
  <si>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</si>
  <si>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</si>
  <si>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</si>
  <si>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</si>
  <si>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</si>
  <si>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</si>
  <si>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</si>
  <si>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</si>
  <si>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</si>
  <si>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</si>
  <si>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</si>
  <si>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</si>
  <si>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</si>
  <si>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</si>
  <si>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</si>
  <si>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</si>
  <si>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</si>
  <si>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</si>
  <si>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</si>
  <si>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</si>
  <si>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</si>
  <si>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</si>
  <si>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</si>
  <si>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</si>
  <si>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</si>
  <si>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</si>
  <si>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</si>
  <si>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</si>
  <si>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</si>
  <si>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</si>
  <si>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</si>
  <si>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</si>
  <si>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</si>
  <si>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</si>
  <si>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</si>
  <si>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</si>
  <si>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</si>
  <si>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</si>
  <si>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</si>
  <si>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</si>
  <si>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</si>
  <si>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</si>
  <si>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</si>
  <si>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</si>
  <si>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</si>
  <si>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</si>
  <si>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</si>
  <si>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</si>
  <si>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</si>
  <si>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</si>
  <si>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</si>
  <si>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</si>
  <si>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</si>
  <si>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</si>
  <si>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</si>
  <si>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</si>
  <si>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</si>
  <si>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</si>
  <si>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</si>
  <si>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</si>
  <si>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</si>
  <si>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</si>
  <si>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</si>
  <si>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</si>
  <si>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</si>
  <si>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</si>
  <si>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</si>
  <si>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</si>
  <si>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</si>
  <si>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</si>
  <si>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</si>
  <si>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</si>
  <si>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</si>
  <si>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</si>
  <si>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</si>
  <si>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</si>
  <si>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</si>
  <si>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</si>
  <si>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</si>
  <si>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</si>
  <si>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</si>
  <si>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</si>
  <si>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</si>
  <si>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</si>
  <si>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</si>
  <si>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</si>
  <si>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</si>
  <si>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</si>
  <si>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</si>
  <si>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</si>
  <si>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</si>
  <si>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</si>
  <si>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</si>
  <si>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</si>
  <si>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</si>
  <si>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</si>
  <si>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</si>
  <si>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</si>
  <si>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</si>
  <si>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</si>
  <si>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</si>
  <si>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</si>
  <si>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</si>
  <si>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</si>
  <si>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</si>
  <si>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</si>
  <si>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</si>
  <si>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</si>
  <si>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</si>
  <si>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</si>
  <si>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</si>
  <si>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</si>
  <si>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</si>
  <si>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</si>
  <si>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</si>
  <si>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</si>
  <si>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</si>
  <si>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</si>
  <si>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</si>
  <si>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</si>
  <si>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</si>
  <si>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</si>
  <si>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</si>
  <si>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</si>
  <si>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</si>
  <si>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</si>
  <si>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</si>
  <si>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</si>
  <si>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</si>
  <si>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</si>
  <si>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</si>
  <si>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</si>
  <si>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</si>
  <si>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</si>
  <si>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</si>
  <si>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</si>
  <si>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</si>
  <si>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</si>
  <si>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</si>
  <si>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</si>
  <si>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</si>
  <si>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</si>
  <si>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</si>
  <si>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</si>
  <si>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</si>
  <si>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</si>
  <si>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</si>
  <si>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</si>
  <si>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</si>
  <si>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</si>
  <si>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</si>
  <si>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</si>
  <si>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</si>
  <si>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</si>
  <si>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</si>
  <si>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</si>
  <si>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</si>
  <si>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</si>
  <si>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</si>
  <si>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</si>
  <si>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</si>
  <si>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</si>
  <si>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</si>
  <si>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</si>
  <si>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</si>
  <si>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</si>
  <si>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</si>
  <si>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</si>
  <si>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</si>
  <si>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</si>
  <si>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</si>
  <si>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</si>
  <si>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</si>
  <si>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</si>
  <si>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</si>
  <si>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</si>
  <si>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</si>
  <si>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</si>
  <si>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</si>
  <si>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</si>
  <si>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</si>
  <si>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</si>
  <si>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</si>
  <si>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</si>
  <si>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</si>
  <si>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</si>
  <si>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</si>
  <si>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</si>
  <si>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</si>
  <si>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</si>
  <si>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</si>
  <si>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</si>
  <si>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</si>
  <si>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</si>
  <si>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</si>
  <si>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</si>
  <si>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</si>
  <si>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</si>
  <si>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</si>
  <si>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</si>
  <si>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</si>
  <si>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</si>
  <si>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</si>
  <si>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</si>
  <si>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</si>
  <si>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</si>
  <si>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</si>
  <si>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</si>
  <si>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</si>
  <si>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</si>
  <si>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</si>
  <si>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</si>
  <si>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</si>
  <si>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</si>
  <si>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</si>
  <si>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</si>
  <si>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</si>
  <si>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</si>
  <si>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</si>
  <si>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</si>
  <si>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</si>
  <si>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</si>
  <si>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</si>
  <si>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</si>
  <si>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</si>
  <si>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</si>
  <si>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</si>
  <si>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</si>
  <si>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</si>
  <si>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</si>
  <si>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</si>
  <si>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</si>
  <si>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</si>
  <si>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</si>
  <si>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</si>
  <si>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</si>
  <si>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</si>
  <si>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</si>
  <si>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</si>
  <si>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</si>
  <si>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</si>
  <si>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</si>
  <si>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</si>
  <si>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</si>
  <si>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</si>
  <si>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</si>
  <si>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</si>
  <si>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</si>
  <si>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</si>
  <si>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</si>
  <si>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</si>
  <si>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</si>
  <si>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</si>
  <si>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</si>
  <si>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</si>
  <si>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</si>
  <si>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</si>
  <si>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</si>
  <si>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</si>
  <si>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</si>
  <si>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</si>
  <si>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</si>
  <si>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</si>
  <si>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</si>
  <si>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</si>
  <si>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</si>
  <si>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</si>
  <si>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</si>
  <si>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</si>
  <si>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</si>
  <si>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</si>
  <si>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</si>
  <si>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</si>
  <si>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</si>
  <si>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</si>
  <si>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</si>
  <si>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</si>
  <si>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</si>
  <si>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</si>
  <si>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</si>
  <si>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</si>
  <si>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</si>
  <si>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</si>
  <si>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</si>
  <si>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</si>
  <si>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</si>
  <si>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</si>
  <si>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</si>
  <si>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</si>
  <si>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</si>
  <si>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</si>
  <si>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</si>
  <si>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</si>
  <si>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</si>
  <si>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</si>
  <si>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</si>
  <si>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</si>
  <si>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</si>
  <si>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</si>
  <si>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</si>
  <si>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</si>
  <si>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</si>
  <si>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</si>
  <si>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</si>
  <si>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</si>
  <si>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</si>
  <si>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</si>
  <si>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</si>
  <si>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</si>
  <si>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</si>
  <si>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</si>
  <si>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</si>
  <si>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</si>
  <si>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</si>
  <si>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</si>
  <si>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</si>
  <si>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</si>
  <si>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</si>
  <si>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</si>
  <si>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</si>
  <si>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</si>
  <si>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</si>
  <si>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</si>
  <si>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</si>
  <si>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</si>
  <si>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</si>
  <si>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</si>
  <si>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</si>
  <si>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</si>
  <si>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</si>
  <si>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</si>
  <si>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</si>
  <si>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</si>
  <si>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</si>
  <si>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</si>
  <si>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</si>
  <si>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</si>
  <si>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</si>
  <si>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</si>
  <si>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</si>
  <si>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</si>
  <si>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</si>
  <si>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</si>
  <si>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</si>
  <si>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</si>
  <si>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</si>
  <si>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</si>
  <si>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</si>
  <si>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</si>
  <si>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</si>
  <si>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</si>
  <si>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</si>
  <si>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</si>
  <si>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</si>
  <si>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</si>
  <si>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</si>
  <si>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</si>
  <si>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</si>
  <si>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</si>
  <si>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</si>
  <si>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</si>
  <si>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</si>
  <si>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</si>
  <si>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</si>
  <si>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</si>
  <si>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</si>
  <si>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</si>
  <si>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</si>
  <si>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</si>
  <si>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</si>
  <si>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</si>
  <si>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</si>
  <si>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</si>
  <si>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</si>
  <si>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</si>
  <si>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</si>
  <si>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</si>
  <si>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</si>
  <si>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</si>
  <si>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</si>
  <si>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</si>
  <si>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</si>
  <si>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</si>
  <si>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</si>
  <si>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</si>
  <si>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</si>
  <si>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</si>
  <si>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</si>
  <si>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</si>
  <si>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</si>
  <si>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</si>
  <si>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</si>
  <si>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</si>
  <si>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</si>
  <si>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</si>
  <si>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</si>
  <si>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</si>
  <si>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</si>
  <si>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</si>
  <si>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</si>
  <si>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</si>
  <si>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</si>
  <si>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</si>
  <si>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</si>
  <si>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</si>
  <si>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</si>
  <si>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</si>
  <si>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</si>
  <si>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</si>
  <si>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</si>
  <si>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</si>
  <si>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</si>
  <si>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</si>
  <si>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</si>
  <si>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</si>
  <si>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</si>
  <si>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</si>
  <si>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</si>
  <si>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</si>
  <si>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</si>
  <si>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</si>
  <si>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</si>
  <si>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</si>
  <si>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</si>
  <si>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</si>
  <si>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</si>
  <si>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</si>
  <si>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</si>
  <si>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</si>
  <si>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</si>
  <si>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</si>
  <si>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</si>
  <si>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</si>
  <si>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</si>
  <si>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</si>
  <si>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</si>
  <si>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</si>
  <si>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</si>
  <si>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</si>
  <si>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</si>
  <si>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</si>
  <si>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</si>
  <si>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</si>
  <si>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</si>
  <si>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</si>
  <si>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</si>
  <si>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</si>
  <si>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</si>
  <si>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</si>
  <si>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</si>
  <si>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</si>
  <si>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</si>
  <si>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</si>
  <si>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</si>
  <si>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</si>
  <si>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</si>
  <si>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</si>
  <si>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</si>
  <si>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</si>
  <si>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</si>
  <si>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</si>
  <si>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</si>
  <si>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</si>
  <si>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</si>
  <si>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</si>
  <si>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</si>
  <si>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</si>
  <si>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</si>
  <si>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</si>
  <si>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</si>
  <si>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</si>
  <si>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</si>
  <si>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</si>
  <si>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</si>
  <si>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</si>
  <si>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</si>
  <si>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</si>
  <si>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</si>
  <si>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</si>
  <si>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</si>
  <si>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</si>
  <si>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</si>
  <si>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</si>
  <si>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</si>
  <si>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</si>
  <si>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</si>
  <si>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</si>
  <si>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</si>
  <si>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</si>
  <si>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</si>
  <si>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</si>
  <si>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</si>
  <si>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</si>
  <si>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</si>
  <si>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</si>
  <si>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</si>
  <si>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</si>
  <si>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</si>
  <si>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</si>
  <si>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</si>
  <si>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</si>
  <si>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</si>
  <si>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</si>
  <si>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</si>
  <si>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</si>
  <si>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</si>
  <si>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</si>
  <si>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</si>
  <si>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</si>
  <si>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</si>
  <si>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</si>
  <si>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</si>
  <si>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</si>
  <si>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</si>
  <si>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</si>
  <si>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</si>
  <si>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</si>
  <si>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</si>
  <si>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</si>
  <si>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</si>
  <si>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</si>
  <si>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</si>
  <si>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</si>
  <si>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</si>
  <si>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</si>
  <si>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</si>
  <si>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</si>
  <si>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</si>
  <si>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</si>
  <si>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</si>
  <si>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</si>
  <si>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</si>
  <si>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</si>
  <si>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</si>
  <si>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</si>
  <si>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</si>
  <si>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</si>
  <si>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</si>
  <si>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</si>
  <si>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</si>
  <si>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</si>
  <si>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</si>
  <si>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</si>
  <si>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</si>
  <si>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</si>
  <si>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</si>
  <si>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</si>
  <si>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</si>
  <si>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</si>
  <si>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</si>
  <si>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</si>
  <si>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</si>
  <si>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</si>
  <si>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</si>
  <si>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</si>
  <si>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</si>
  <si>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</si>
  <si>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</si>
  <si>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</si>
  <si>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</si>
  <si>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</si>
  <si>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</si>
  <si>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</si>
  <si>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</si>
  <si>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</si>
  <si>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</si>
  <si>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</si>
  <si>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</si>
  <si>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</si>
  <si>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</si>
  <si>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</si>
  <si>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</si>
  <si>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</si>
  <si>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</si>
  <si>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</si>
  <si>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</si>
  <si>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</si>
  <si>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</si>
  <si>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</si>
  <si>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</si>
  <si>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</si>
  <si>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</si>
  <si>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</si>
  <si>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</si>
  <si>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</si>
  <si>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</si>
  <si>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</si>
  <si>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</si>
  <si>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</si>
  <si>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</si>
  <si>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</si>
  <si>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</si>
  <si>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</si>
  <si>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</si>
  <si>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</si>
  <si>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</si>
  <si>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</si>
  <si>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</si>
  <si>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</si>
  <si>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</si>
  <si>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</si>
  <si>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</si>
  <si>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</si>
  <si>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</si>
  <si>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</si>
  <si>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</si>
  <si>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</si>
  <si>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</si>
  <si>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</si>
  <si>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</si>
  <si>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</si>
  <si>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</si>
  <si>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</si>
  <si>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</si>
  <si>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</si>
  <si>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</si>
  <si>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</si>
  <si>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</si>
  <si>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</si>
  <si>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</si>
  <si>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</si>
  <si>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</si>
  <si>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</si>
  <si>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</si>
  <si>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</si>
  <si>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</si>
  <si>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</si>
  <si>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</si>
  <si>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</si>
  <si>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</si>
  <si>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</si>
  <si>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</si>
  <si>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</si>
  <si>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</si>
  <si>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</si>
  <si>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</si>
  <si>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</si>
  <si>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</si>
  <si>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</si>
  <si>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</si>
  <si>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</si>
  <si>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</si>
  <si>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</si>
  <si>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</si>
  <si>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</si>
  <si>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</si>
  <si>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</si>
  <si>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</si>
  <si>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</si>
  <si>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</si>
  <si>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</si>
  <si>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</si>
  <si>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</si>
  <si>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</si>
  <si>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</si>
  <si>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</si>
  <si>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</si>
  <si>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</si>
  <si>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</si>
  <si>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</si>
  <si>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</si>
  <si>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</si>
  <si>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</si>
  <si>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</si>
  <si>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</si>
  <si>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</si>
  <si>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</si>
  <si>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</si>
  <si>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</si>
  <si>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</si>
  <si>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</si>
  <si>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</si>
  <si>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</si>
  <si>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</si>
  <si>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</si>
  <si>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</si>
  <si>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</si>
  <si>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</si>
  <si>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</si>
  <si>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</si>
  <si>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</si>
  <si>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</si>
  <si>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</si>
  <si>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</si>
  <si>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</si>
  <si>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</si>
  <si>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</si>
  <si>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</si>
  <si>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</si>
  <si>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</si>
  <si>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</si>
  <si>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</si>
  <si>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</si>
  <si>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</si>
  <si>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</si>
  <si>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</si>
  <si>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</si>
  <si>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</si>
  <si>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</si>
  <si>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</si>
  <si>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</si>
  <si>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</si>
  <si>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</si>
  <si>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</si>
  <si>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</si>
  <si>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</si>
  <si>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</si>
  <si>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</si>
  <si>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</si>
  <si>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</si>
  <si>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</si>
  <si>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</si>
  <si>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</si>
  <si>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</si>
  <si>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</si>
  <si>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</si>
  <si>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</si>
  <si>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</si>
  <si>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</si>
  <si>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</si>
  <si>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</si>
  <si>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</si>
  <si>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</si>
  <si>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</si>
  <si>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</si>
  <si>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</si>
  <si>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</si>
  <si>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</si>
  <si>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</si>
  <si>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</si>
  <si>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</si>
  <si>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</si>
  <si>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</si>
  <si>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</si>
  <si>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</si>
  <si>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</si>
  <si>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</si>
  <si>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</si>
  <si>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</si>
  <si>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</si>
  <si>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</si>
  <si>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</si>
  <si>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</si>
  <si>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</si>
  <si>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</si>
  <si>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</si>
  <si>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</si>
  <si>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</si>
  <si>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</si>
  <si>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</si>
  <si>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</si>
  <si>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</si>
  <si>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</si>
  <si>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</si>
  <si>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</si>
  <si>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</si>
  <si>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</si>
  <si>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</si>
  <si>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</si>
  <si>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</si>
  <si>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</si>
  <si>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</si>
  <si>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</si>
  <si>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</si>
  <si>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</si>
  <si>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</si>
  <si>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</si>
  <si>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</si>
  <si>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</si>
  <si>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</si>
  <si>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</si>
  <si>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</si>
  <si>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</si>
  <si>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</si>
  <si>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</si>
  <si>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</si>
  <si>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</si>
  <si>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</si>
  <si>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</si>
  <si>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</si>
  <si>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</si>
  <si>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</si>
  <si>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</si>
  <si>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</si>
  <si>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</si>
  <si>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</si>
  <si>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</si>
  <si>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</si>
  <si>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</si>
  <si>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</si>
  <si>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</si>
  <si>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</si>
  <si>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</si>
  <si>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</si>
  <si>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</si>
  <si>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</si>
  <si>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</si>
  <si>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</si>
  <si>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</si>
  <si>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</si>
  <si>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</si>
  <si>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</si>
  <si>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</si>
  <si>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</si>
  <si>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</si>
  <si>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</si>
  <si>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</si>
  <si>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</si>
  <si>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</si>
  <si>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</si>
  <si>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</si>
  <si>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</si>
  <si>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</si>
  <si>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</si>
  <si>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</si>
  <si>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</si>
  <si>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</si>
  <si>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</si>
  <si>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</si>
  <si>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</si>
  <si>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</si>
  <si>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</si>
  <si>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</si>
  <si>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</si>
  <si>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</si>
  <si>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</si>
  <si>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</si>
  <si>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</si>
  <si>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</si>
  <si>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</si>
  <si>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</si>
  <si>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</si>
  <si>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</si>
  <si>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</si>
  <si>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</si>
  <si>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</si>
  <si>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</si>
  <si>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</si>
  <si>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</si>
  <si>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</si>
  <si>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</si>
  <si>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</si>
  <si>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</si>
  <si>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</si>
  <si>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</si>
  <si>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</si>
  <si>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</si>
  <si>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</si>
  <si>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</si>
  <si>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</si>
  <si>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</si>
  <si>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</si>
  <si>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</si>
  <si>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</si>
  <si>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</si>
  <si>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</si>
  <si>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</si>
  <si>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</si>
  <si>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</si>
  <si>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</si>
  <si>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</si>
  <si>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</si>
  <si>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</si>
  <si>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</si>
  <si>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</si>
  <si>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</si>
  <si>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</si>
  <si>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</si>
  <si>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</si>
  <si>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</si>
  <si>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</si>
  <si>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</si>
  <si>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</si>
  <si>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</si>
  <si>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</si>
  <si>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</si>
  <si>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</si>
  <si>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</si>
  <si>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</si>
  <si>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</si>
  <si>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</si>
  <si>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</si>
  <si>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</si>
  <si>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</si>
  <si>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</si>
  <si>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</si>
  <si>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</si>
  <si>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</si>
  <si>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</si>
  <si>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</si>
  <si>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</si>
  <si>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</si>
  <si>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</si>
  <si>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</si>
  <si>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</si>
  <si>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</si>
  <si>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</si>
  <si>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</si>
  <si>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</si>
  <si>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</si>
  <si>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</si>
  <si>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</si>
  <si>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</si>
  <si>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</si>
  <si>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</si>
  <si>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</si>
  <si>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</si>
  <si>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</si>
  <si>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</si>
  <si>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</si>
  <si>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</si>
  <si>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</si>
  <si>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</si>
  <si>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</si>
  <si>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</si>
  <si>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</si>
  <si>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</si>
  <si>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</si>
  <si>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</si>
  <si>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</si>
  <si>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</si>
  <si>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</si>
  <si>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</si>
  <si>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</si>
  <si>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</si>
  <si>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</si>
  <si>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</si>
  <si>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</si>
  <si>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</si>
  <si>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</si>
  <si>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</si>
  <si>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</si>
  <si>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</si>
  <si>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</si>
  <si>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</si>
  <si>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</si>
  <si>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</si>
  <si>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</si>
  <si>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</si>
  <si>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</si>
  <si>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</si>
  <si>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</si>
  <si>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</si>
  <si>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</si>
  <si>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</si>
  <si>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</si>
  <si>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</si>
  <si>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</si>
  <si>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</si>
  <si>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</si>
  <si>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</si>
  <si>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</si>
  <si>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</si>
  <si>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</si>
  <si>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</si>
  <si>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</si>
  <si>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</si>
  <si>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</si>
  <si>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</si>
  <si>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</si>
  <si>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</si>
  <si>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</si>
  <si>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</si>
  <si>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</si>
  <si>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</si>
  <si>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</si>
  <si>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</si>
  <si>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</si>
  <si>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</si>
  <si>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</si>
  <si>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</si>
  <si>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</si>
  <si>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</si>
  <si>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</si>
  <si>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</si>
  <si>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</si>
  <si>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</si>
  <si>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</si>
  <si>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</si>
  <si>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</si>
  <si>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</si>
  <si>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</si>
  <si>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</si>
  <si>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</si>
  <si>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</si>
  <si>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</si>
  <si>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</si>
  <si>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</si>
  <si>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</si>
  <si>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</si>
  <si>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</si>
  <si>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</si>
  <si>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</si>
  <si>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</si>
  <si>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</si>
  <si>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</si>
  <si>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</si>
  <si>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</si>
  <si>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</si>
  <si>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</si>
  <si>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</si>
  <si>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</si>
  <si>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</si>
  <si>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</si>
  <si>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</si>
  <si>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</si>
  <si>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</si>
  <si>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</si>
  <si>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</si>
  <si>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</si>
  <si>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</si>
  <si>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</si>
  <si>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</si>
  <si>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</si>
  <si>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</si>
  <si>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</si>
  <si>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</si>
  <si>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</si>
  <si>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</si>
  <si>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</si>
  <si>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</si>
  <si>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</si>
  <si>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</si>
  <si>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</si>
  <si>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</si>
  <si>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</si>
  <si>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</si>
  <si>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</si>
  <si>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</si>
  <si>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</si>
  <si>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</si>
  <si>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</si>
  <si>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</si>
  <si>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</si>
  <si>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</si>
  <si>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</si>
  <si>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</si>
  <si>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</si>
  <si>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</si>
  <si>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</si>
  <si>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</si>
  <si>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</si>
  <si>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</si>
  <si>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</si>
  <si>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</si>
  <si>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</si>
  <si>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</si>
  <si>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</si>
  <si>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</si>
  <si>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</si>
  <si>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</si>
  <si>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</si>
  <si>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</si>
  <si>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</si>
  <si>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</si>
  <si>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</si>
  <si>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</si>
  <si>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</si>
  <si>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</si>
  <si>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</si>
  <si>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</si>
  <si>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</si>
  <si>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</si>
  <si>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</si>
  <si>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</si>
  <si>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</si>
  <si>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</si>
  <si>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</si>
  <si>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</si>
  <si>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</si>
  <si>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</si>
  <si>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</si>
  <si>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</si>
  <si>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</si>
  <si>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</si>
  <si>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</si>
  <si>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</si>
  <si>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</si>
  <si>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</si>
  <si>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</si>
  <si>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</si>
  <si>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</si>
  <si>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</si>
  <si>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</si>
  <si>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</si>
  <si>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</si>
  <si>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</si>
  <si>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</si>
  <si>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</si>
  <si>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</si>
  <si>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</si>
  <si>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</si>
  <si>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</si>
  <si>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</si>
  <si>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</si>
  <si>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</si>
  <si>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</si>
  <si>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</si>
  <si>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</si>
  <si>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</si>
  <si>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</si>
  <si>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</si>
  <si>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</si>
  <si>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</si>
  <si>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</si>
  <si>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</si>
  <si>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</si>
  <si>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</si>
  <si>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</si>
  <si>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</si>
  <si>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</si>
  <si>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</si>
  <si>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</si>
  <si>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</si>
  <si>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</si>
  <si>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</si>
  <si>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</si>
  <si>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</si>
  <si>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</si>
  <si>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</si>
  <si>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</si>
  <si>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</si>
  <si>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</si>
  <si>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</si>
  <si>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</si>
  <si>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</si>
  <si>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</si>
  <si>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</si>
  <si>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</si>
  <si>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</si>
  <si>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</si>
  <si>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</si>
  <si>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</si>
  <si>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</si>
  <si>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</si>
  <si>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</si>
  <si>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</si>
  <si>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</si>
  <si>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</si>
  <si>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</si>
  <si>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</si>
  <si>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</si>
  <si>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</si>
  <si>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</si>
  <si>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</si>
  <si>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</si>
  <si>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</si>
  <si>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</si>
  <si>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</si>
  <si>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</si>
  <si>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</si>
  <si>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</si>
  <si>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</si>
  <si>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</si>
  <si>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</si>
  <si>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</si>
  <si>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</si>
  <si>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</si>
  <si>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</si>
  <si>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</si>
  <si>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</si>
  <si>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</si>
  <si>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</si>
  <si>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</si>
  <si>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</si>
  <si>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</si>
  <si>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</si>
  <si>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</si>
  <si>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</si>
  <si>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</si>
  <si>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</si>
  <si>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</si>
  <si>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</si>
  <si>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</si>
  <si>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</si>
  <si>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</si>
  <si>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</si>
  <si>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</si>
  <si>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</si>
  <si>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</si>
  <si>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</si>
  <si>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</si>
  <si>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</si>
  <si>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</si>
  <si>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</si>
  <si>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</si>
  <si>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</si>
  <si>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</si>
  <si>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</si>
  <si>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</si>
  <si>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</si>
  <si>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</si>
  <si>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</si>
  <si>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</si>
  <si>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</si>
  <si>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</si>
  <si>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</si>
  <si>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</si>
  <si>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</si>
  <si>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</si>
  <si>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</si>
  <si>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</si>
  <si>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</si>
  <si>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</si>
  <si>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</si>
  <si>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</si>
  <si>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</si>
  <si>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</si>
  <si>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</si>
  <si>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</si>
  <si>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</si>
  <si>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</si>
  <si>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</si>
  <si>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</si>
  <si>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</si>
  <si>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</si>
  <si>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</si>
  <si>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</si>
  <si>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</si>
  <si>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</si>
  <si>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</si>
  <si>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</si>
  <si>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</si>
  <si>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</si>
  <si>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</si>
  <si>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</si>
  <si>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</si>
  <si>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</si>
  <si>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</si>
  <si>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</si>
  <si>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</si>
  <si>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</si>
  <si>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</si>
  <si>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</si>
  <si>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</si>
  <si>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</si>
  <si>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</si>
  <si>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</si>
  <si>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</si>
  <si>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</si>
  <si>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</si>
  <si>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</si>
  <si>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</si>
  <si>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</si>
  <si>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</si>
  <si>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</si>
  <si>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</si>
  <si>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</si>
  <si>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</si>
  <si>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</si>
  <si>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</si>
  <si>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</si>
  <si>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</si>
  <si>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</si>
  <si>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</si>
  <si>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</si>
  <si>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</si>
  <si>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</si>
  <si>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</si>
  <si>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</si>
  <si>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</si>
  <si>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</si>
  <si>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</si>
  <si>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</si>
  <si>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</si>
  <si>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</si>
  <si>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</si>
  <si>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</si>
  <si>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</si>
  <si>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</si>
  <si>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</si>
  <si>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</si>
  <si>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</si>
  <si>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</si>
  <si>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</si>
  <si>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</si>
  <si>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</si>
  <si>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</si>
  <si>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</si>
  <si>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</si>
  <si>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</si>
  <si>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</si>
  <si>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</si>
  <si>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</si>
  <si>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</si>
  <si>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</si>
  <si>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</si>
  <si>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</si>
  <si>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</si>
  <si>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</si>
  <si>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</si>
  <si>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</si>
  <si>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</si>
  <si>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</si>
  <si>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</si>
  <si>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</si>
  <si>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</si>
  <si>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</si>
  <si>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</si>
  <si>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</si>
  <si>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</si>
  <si>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</si>
  <si>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</si>
  <si>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</si>
  <si>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</si>
  <si>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</si>
  <si>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</si>
  <si>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</si>
  <si>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</si>
  <si>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</si>
  <si>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</si>
  <si>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</si>
  <si>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</si>
  <si>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</si>
  <si>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</si>
  <si>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</si>
  <si>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</si>
  <si>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</si>
  <si>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</si>
  <si>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</si>
  <si>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</si>
  <si>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</si>
  <si>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</si>
  <si>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</si>
  <si>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</si>
  <si>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</si>
  <si>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</si>
  <si>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</si>
  <si>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</si>
  <si>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</si>
  <si>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</si>
  <si>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</si>
  <si>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</si>
  <si>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</si>
  <si>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</si>
  <si>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</si>
  <si>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</si>
  <si>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</si>
  <si>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</si>
  <si>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</si>
  <si>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</si>
  <si>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</si>
  <si>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</si>
  <si>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</si>
  <si>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</si>
  <si>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</si>
  <si>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</si>
  <si>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</si>
  <si>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</si>
  <si>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</si>
  <si>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</si>
  <si>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</si>
  <si>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</si>
  <si>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</si>
  <si>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</si>
  <si>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</si>
  <si>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</si>
  <si>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</si>
  <si>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</si>
  <si>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</si>
  <si>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</si>
  <si>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</si>
  <si>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</si>
  <si>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</si>
  <si>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</si>
  <si>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</si>
  <si>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</si>
  <si>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</si>
  <si>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</si>
  <si>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</si>
  <si>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</si>
  <si>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</si>
  <si>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</si>
  <si>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</si>
  <si>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</si>
  <si>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</si>
  <si>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</si>
  <si>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</si>
  <si>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</si>
  <si>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</si>
  <si>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</si>
  <si>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</si>
  <si>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</si>
  <si>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</si>
  <si>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</si>
  <si>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</si>
  <si>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</si>
  <si>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</si>
  <si>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</si>
  <si>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</si>
  <si>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</si>
  <si>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</si>
  <si>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</si>
  <si>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</si>
  <si>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</si>
  <si>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</si>
  <si>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</si>
  <si>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</si>
  <si>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</si>
  <si>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</si>
  <si>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</si>
  <si>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</si>
  <si>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</si>
  <si>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</si>
  <si>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</si>
  <si>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</si>
  <si>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</si>
  <si>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</si>
  <si>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</si>
  <si>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</si>
  <si>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</si>
  <si>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</si>
  <si>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</si>
  <si>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</si>
  <si>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</si>
  <si>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</si>
  <si>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</si>
  <si>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</si>
  <si>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</si>
  <si>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</si>
  <si>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</si>
  <si>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</si>
  <si>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</si>
  <si>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</si>
  <si>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</si>
  <si>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</si>
  <si>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</si>
  <si>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</si>
  <si>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</si>
  <si>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</si>
  <si>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</si>
  <si>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</si>
  <si>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</si>
  <si>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</si>
  <si>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</si>
  <si>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</si>
  <si>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</si>
  <si>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</si>
  <si>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</si>
  <si>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</si>
  <si>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</si>
  <si>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</si>
  <si>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</si>
  <si>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</si>
  <si>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</si>
  <si>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</si>
  <si>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</si>
  <si>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</si>
  <si>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</si>
  <si>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</si>
  <si>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</si>
  <si>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</si>
  <si>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</si>
  <si>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</si>
  <si>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</si>
  <si>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</si>
  <si>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</si>
  <si>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</si>
  <si>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</si>
  <si>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</si>
  <si>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</si>
  <si>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</si>
  <si>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</si>
  <si>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</si>
  <si>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</si>
  <si>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</si>
  <si>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</si>
  <si>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</si>
  <si>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</si>
  <si>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</si>
  <si>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</si>
  <si>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</si>
  <si>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</si>
  <si>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</si>
  <si>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</si>
  <si>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</si>
  <si>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</si>
  <si>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</si>
  <si>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</si>
  <si>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</si>
  <si>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</si>
  <si>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</si>
  <si>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</si>
  <si>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</si>
  <si>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</si>
  <si>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</si>
  <si>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</si>
  <si>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</si>
  <si>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</si>
  <si>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</si>
  <si>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</si>
  <si>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</si>
  <si>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</si>
  <si>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</si>
  <si>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</si>
  <si>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</si>
  <si>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</si>
  <si>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</si>
  <si>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</si>
  <si>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</si>
  <si>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</si>
  <si>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</si>
  <si>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</si>
  <si>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</si>
  <si>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</si>
  <si>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</si>
  <si>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</si>
  <si>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</si>
  <si>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</si>
  <si>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</si>
  <si>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</si>
  <si>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</si>
  <si>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</si>
  <si>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</si>
  <si>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</si>
  <si>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</si>
  <si>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</si>
  <si>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</si>
  <si>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</si>
  <si>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</si>
  <si>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</si>
  <si>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</si>
  <si>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</si>
  <si>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</si>
  <si>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</si>
  <si>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</si>
  <si>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</si>
  <si>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</si>
  <si>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</si>
  <si>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</si>
  <si>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</si>
  <si>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</si>
  <si>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</si>
  <si>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</si>
  <si>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</si>
  <si>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</si>
  <si>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</si>
  <si>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</si>
  <si>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</si>
  <si>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</si>
  <si>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</si>
  <si>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</si>
  <si>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</si>
  <si>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</si>
  <si>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</si>
  <si>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</si>
  <si>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</si>
  <si>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</si>
  <si>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</si>
  <si>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</si>
  <si>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</si>
  <si>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</si>
  <si>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</si>
  <si>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</si>
  <si>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</si>
  <si>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</si>
  <si>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</si>
  <si>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</si>
  <si>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</si>
  <si>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</si>
  <si>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</si>
  <si>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</si>
  <si>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</si>
  <si>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</si>
  <si>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</si>
  <si>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</si>
  <si>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</si>
  <si>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</si>
  <si>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</si>
  <si>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</si>
  <si>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</si>
  <si>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</si>
  <si>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</si>
  <si>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</si>
  <si>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</si>
  <si>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</si>
  <si>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</si>
  <si>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</si>
  <si>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</si>
  <si>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</si>
  <si>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</si>
  <si>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</si>
  <si>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</si>
  <si>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</si>
  <si>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</si>
  <si>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</si>
  <si>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</si>
  <si>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</si>
  <si>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</si>
  <si>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</si>
  <si>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</si>
  <si>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</si>
  <si>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</si>
  <si>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</si>
  <si>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</si>
  <si>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</si>
  <si>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</si>
  <si>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</si>
  <si>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</si>
  <si>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</si>
  <si>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</si>
  <si>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</si>
  <si>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</si>
  <si>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</si>
  <si>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</si>
  <si>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</si>
  <si>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</si>
  <si>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</si>
  <si>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</si>
  <si>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</si>
  <si>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</si>
  <si>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</si>
  <si>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</si>
  <si>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</si>
  <si>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</si>
  <si>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</si>
  <si>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</si>
  <si>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</si>
  <si>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</si>
  <si>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</si>
  <si>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</si>
  <si>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</si>
  <si>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</si>
  <si>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</si>
  <si>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</si>
  <si>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</si>
  <si>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</si>
  <si>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</si>
  <si>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</si>
  <si>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</si>
  <si>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</si>
  <si>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</si>
  <si>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</si>
  <si>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</si>
  <si>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</si>
  <si>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</si>
  <si>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</si>
  <si>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</si>
  <si>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</si>
  <si>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</si>
  <si>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</si>
  <si>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</si>
  <si>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</si>
  <si>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</si>
  <si>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</si>
  <si>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</si>
  <si>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</si>
  <si>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</si>
  <si>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</si>
  <si>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</si>
  <si>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</si>
  <si>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</si>
  <si>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</si>
  <si>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</si>
  <si>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</si>
  <si>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</si>
  <si>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</si>
  <si>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</si>
  <si>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</si>
  <si>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</si>
  <si>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</si>
  <si>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</si>
  <si>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</si>
  <si>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</si>
  <si>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</si>
  <si>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</si>
  <si>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</si>
  <si>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</si>
  <si>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</si>
  <si>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</si>
  <si>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</si>
  <si>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</si>
  <si>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</si>
  <si>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</si>
  <si>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</si>
  <si>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</si>
  <si>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</si>
  <si>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</si>
  <si>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</si>
  <si>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</si>
  <si>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</si>
  <si>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</si>
  <si>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</si>
  <si>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</si>
  <si>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</si>
  <si>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</si>
  <si>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</si>
  <si>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</si>
  <si>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</si>
  <si>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</si>
  <si>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</si>
  <si>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</si>
  <si>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</si>
  <si>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</si>
  <si>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</si>
  <si>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</si>
  <si>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</si>
  <si>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</si>
  <si>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</si>
  <si>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</si>
  <si>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</si>
  <si>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</si>
  <si>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</si>
  <si>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</si>
  <si>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</si>
  <si>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</si>
  <si>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</si>
  <si>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</si>
  <si>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</si>
  <si>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</si>
  <si>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</si>
  <si>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</si>
  <si>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</si>
  <si>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</si>
  <si>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</si>
  <si>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</si>
  <si>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</si>
  <si>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</si>
  <si>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</si>
  <si>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</si>
  <si>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</si>
  <si>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</si>
  <si>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</si>
  <si>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</si>
  <si>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</si>
  <si>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</si>
  <si>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</si>
  <si>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</si>
  <si>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</si>
  <si>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</si>
  <si>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</si>
  <si>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</si>
  <si>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</si>
  <si>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</si>
  <si>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</si>
  <si>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</si>
  <si>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</si>
  <si>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</si>
  <si>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</si>
  <si>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</si>
  <si>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</si>
  <si>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</si>
  <si>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</si>
  <si>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</si>
  <si>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</si>
  <si>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</si>
  <si>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</si>
  <si>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</si>
  <si>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</si>
  <si>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</si>
  <si>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</si>
  <si>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</si>
  <si>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</si>
  <si>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</si>
  <si>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</si>
  <si>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</si>
  <si>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</si>
  <si>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</si>
  <si>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</si>
  <si>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</si>
  <si>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</si>
  <si>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</si>
  <si>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</si>
  <si>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</si>
  <si>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</si>
  <si>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</si>
  <si>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</si>
  <si>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</si>
  <si>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</si>
  <si>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</si>
  <si>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</si>
  <si>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</si>
  <si>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</si>
  <si>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</si>
  <si>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</si>
  <si>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</si>
  <si>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</si>
  <si>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</si>
  <si>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</si>
  <si>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</si>
  <si>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</si>
  <si>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</si>
  <si>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</si>
  <si>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</si>
  <si>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</si>
  <si>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</si>
  <si>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</si>
  <si>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</si>
  <si>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</si>
  <si>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</si>
  <si>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</si>
  <si>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</si>
  <si>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</si>
  <si>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</si>
  <si>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</si>
  <si>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</si>
  <si>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</si>
  <si>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</si>
  <si>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</si>
  <si>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</si>
  <si>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</si>
  <si>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</si>
  <si>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</si>
  <si>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</si>
  <si>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</si>
  <si>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</si>
  <si>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</si>
  <si>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</si>
  <si>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</si>
  <si>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</si>
  <si>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</si>
  <si>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</si>
  <si>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</si>
  <si>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</si>
  <si>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</si>
  <si>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</si>
  <si>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</si>
  <si>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</si>
  <si>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</si>
  <si>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</si>
  <si>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</si>
  <si>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</si>
  <si>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</si>
  <si>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</si>
  <si>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</si>
  <si>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</si>
  <si>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</si>
  <si>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</si>
  <si>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</si>
  <si>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</si>
  <si>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</si>
  <si>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</si>
  <si>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</si>
  <si>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</si>
  <si>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</si>
  <si>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</si>
  <si>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</si>
  <si>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</si>
  <si>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</si>
  <si>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</si>
  <si>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</si>
  <si>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</si>
  <si>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</si>
  <si>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</si>
  <si>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</si>
  <si>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</si>
  <si>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</si>
  <si>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</si>
  <si>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</si>
  <si>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</si>
  <si>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</si>
  <si>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</si>
  <si>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</si>
  <si>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</si>
  <si>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</si>
  <si>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</si>
  <si>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</si>
  <si>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</si>
  <si>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</si>
  <si>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</si>
  <si>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</si>
  <si>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</si>
  <si>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</si>
  <si>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</si>
  <si>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</si>
  <si>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</si>
  <si>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</si>
  <si>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</si>
  <si>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</si>
  <si>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</si>
  <si>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</si>
  <si>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</si>
  <si>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</si>
  <si>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</si>
  <si>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</si>
  <si>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</si>
  <si>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</si>
  <si>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</si>
  <si>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</si>
  <si>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</si>
  <si>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</si>
  <si>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</si>
  <si>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</si>
  <si>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</si>
  <si>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</si>
  <si>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</si>
  <si>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</si>
  <si>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</si>
  <si>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</si>
  <si>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</si>
  <si>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</si>
  <si>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</si>
  <si>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</si>
  <si>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</si>
  <si>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</si>
  <si>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</si>
  <si>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</si>
  <si>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</si>
  <si>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</si>
  <si>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</si>
  <si>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</si>
  <si>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</si>
  <si>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</si>
  <si>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</si>
  <si>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</si>
  <si>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</si>
  <si>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</si>
  <si>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</si>
  <si>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</si>
  <si>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</si>
  <si>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</si>
  <si>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</si>
  <si>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</si>
  <si>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</si>
  <si>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</si>
  <si>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</si>
  <si>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</si>
  <si>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</si>
  <si>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</si>
  <si>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</si>
  <si>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</si>
  <si>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</si>
  <si>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</si>
  <si>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</si>
  <si>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</si>
  <si>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</si>
  <si>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</si>
  <si>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</si>
  <si>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</si>
  <si>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</si>
  <si>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</si>
  <si>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</si>
  <si>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</si>
  <si>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</si>
  <si>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</si>
  <si>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</si>
  <si>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</si>
  <si>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</si>
  <si>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</si>
  <si>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</si>
  <si>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</si>
  <si>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</si>
  <si>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</si>
  <si>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</si>
  <si>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</si>
  <si>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</si>
  <si>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</si>
  <si>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</si>
  <si>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</si>
  <si>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</si>
  <si>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</si>
  <si>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</si>
  <si>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</si>
  <si>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</si>
  <si>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</si>
  <si>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</si>
  <si>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</si>
  <si>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</si>
  <si>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</si>
  <si>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</si>
  <si>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</si>
  <si>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</si>
  <si>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</si>
  <si>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</si>
  <si>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</si>
  <si>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</si>
  <si>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</si>
  <si>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</si>
  <si>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</si>
  <si>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</si>
  <si>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</si>
  <si>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</si>
  <si>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</si>
  <si>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</si>
  <si>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</si>
  <si>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</si>
  <si>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</si>
  <si>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</si>
  <si>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</si>
  <si>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</si>
  <si>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</si>
  <si>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</si>
  <si>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</si>
  <si>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</si>
  <si>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</si>
  <si>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</si>
  <si>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</si>
  <si>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</si>
  <si>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</si>
  <si>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</si>
  <si>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</si>
  <si>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</si>
  <si>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</si>
  <si>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</si>
  <si>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</si>
  <si>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</si>
  <si>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</si>
  <si>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</si>
  <si>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</si>
  <si>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</si>
  <si>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</si>
  <si>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</si>
  <si>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</si>
  <si>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</si>
  <si>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</si>
  <si>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</si>
  <si>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</si>
  <si>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</si>
  <si>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</si>
  <si>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</si>
  <si>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</si>
  <si>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</si>
  <si>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</si>
  <si>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</si>
  <si>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</si>
  <si>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</si>
  <si>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</si>
  <si>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</si>
  <si>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</si>
  <si>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</si>
  <si>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</si>
  <si>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</si>
  <si>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</si>
  <si>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</si>
  <si>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</si>
  <si>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</si>
  <si>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</si>
  <si>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</si>
  <si>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</si>
  <si>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</si>
  <si>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</si>
  <si>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</si>
  <si>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</si>
  <si>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</si>
  <si>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</si>
  <si>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</si>
  <si>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</si>
  <si>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</si>
  <si>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</si>
  <si>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</si>
  <si>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</si>
  <si>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</si>
  <si>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</si>
  <si>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</si>
  <si>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</si>
  <si>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</si>
  <si>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</si>
  <si>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</si>
  <si>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</si>
  <si>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</si>
  <si>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</si>
  <si>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</si>
  <si>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</si>
  <si>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</si>
  <si>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</si>
  <si>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</si>
  <si>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</si>
  <si>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</si>
  <si>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</si>
  <si>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</si>
  <si>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</si>
  <si>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</si>
  <si>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</si>
  <si>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</si>
  <si>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</si>
  <si>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</si>
  <si>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</si>
  <si>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</si>
  <si>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</si>
  <si>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</si>
  <si>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</si>
  <si>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</si>
  <si>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</si>
  <si>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</si>
  <si>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</si>
  <si>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</si>
  <si>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</si>
  <si>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</si>
  <si>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</si>
  <si>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</si>
  <si>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</si>
  <si>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</si>
  <si>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</si>
  <si>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</si>
  <si>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</si>
  <si>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</si>
  <si>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</si>
  <si>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</si>
  <si>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</si>
  <si>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</si>
  <si>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</si>
  <si>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</si>
  <si>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</si>
  <si>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</si>
  <si>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</si>
  <si>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</si>
  <si>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</si>
  <si>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</si>
  <si>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</si>
  <si>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</si>
  <si>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</si>
  <si>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</si>
  <si>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</si>
  <si>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</si>
  <si>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</si>
  <si>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</si>
  <si>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</si>
  <si>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</si>
  <si>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</si>
  <si>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</si>
  <si>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</si>
  <si>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</si>
  <si>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</si>
  <si>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</si>
  <si>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</si>
  <si>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</si>
  <si>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</si>
  <si>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</si>
  <si>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</si>
  <si>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</si>
  <si>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</si>
  <si>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</si>
  <si>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</si>
  <si>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</si>
  <si>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</si>
  <si>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</si>
  <si>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</si>
  <si>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</si>
  <si>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</si>
  <si>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</si>
  <si>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</si>
  <si>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</si>
  <si>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</si>
  <si>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</si>
  <si>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</si>
  <si>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</si>
  <si>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</si>
  <si>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</si>
  <si>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</si>
  <si>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</si>
  <si>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</si>
  <si>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</si>
  <si>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</si>
  <si>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</si>
  <si>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</si>
  <si>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</si>
  <si>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</si>
  <si>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</si>
  <si>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</si>
  <si>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</si>
  <si>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</si>
  <si>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</si>
  <si>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</si>
  <si>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</si>
  <si>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</si>
  <si>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</si>
  <si>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</si>
  <si>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</si>
  <si>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</si>
  <si>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</si>
  <si>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</si>
  <si>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</si>
  <si>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</si>
  <si>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</si>
  <si>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</si>
  <si>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</si>
  <si>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</si>
  <si>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</si>
  <si>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</si>
  <si>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</si>
  <si>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</si>
  <si>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</si>
  <si>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</si>
  <si>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</si>
  <si>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</si>
  <si>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</si>
  <si>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</si>
  <si>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</si>
  <si>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</si>
  <si>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</si>
  <si>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</si>
  <si>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</si>
  <si>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</si>
  <si>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</si>
  <si>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</si>
  <si>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</si>
  <si>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</si>
  <si>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</si>
  <si>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</si>
  <si>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</si>
  <si>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</si>
  <si>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</si>
  <si>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</si>
  <si>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</si>
  <si>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</si>
  <si>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</si>
  <si>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</si>
  <si>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</si>
  <si>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</si>
  <si>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</si>
  <si>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</si>
  <si>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</si>
  <si>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</si>
  <si>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</si>
  <si>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</si>
  <si>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</si>
  <si>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</si>
  <si>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</si>
  <si>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</si>
  <si>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</si>
  <si>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</si>
  <si>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</si>
  <si>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</si>
  <si>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</si>
  <si>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</si>
  <si>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</si>
  <si>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</si>
  <si>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</si>
  <si>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</si>
  <si>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</si>
  <si>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</si>
  <si>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</si>
  <si>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</si>
  <si>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</si>
  <si>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</si>
  <si>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</si>
  <si>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</si>
  <si>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</si>
  <si>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</si>
  <si>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</si>
  <si>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</si>
  <si>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</si>
  <si>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</si>
  <si>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</si>
  <si>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</si>
  <si>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</si>
  <si>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</si>
  <si>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</si>
  <si>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</si>
  <si>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</si>
  <si>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</si>
  <si>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</si>
  <si>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</si>
  <si>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</si>
  <si>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</si>
  <si>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</si>
  <si>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</si>
  <si>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</si>
  <si>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</si>
  <si>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</si>
  <si>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</si>
  <si>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</si>
  <si>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</si>
  <si>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</si>
  <si>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</si>
  <si>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</si>
  <si>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</si>
  <si>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</si>
  <si>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</si>
  <si>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</si>
  <si>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</si>
  <si>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</si>
  <si>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</si>
  <si>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</si>
  <si>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</si>
  <si>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</si>
  <si>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</si>
  <si>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</si>
  <si>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</si>
  <si>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</si>
  <si>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</si>
  <si>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</si>
  <si>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</si>
  <si>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</si>
  <si>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</si>
  <si>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</si>
  <si>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</si>
  <si>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</si>
  <si>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</si>
  <si>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</si>
  <si>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</si>
  <si>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</si>
  <si>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</si>
  <si>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</si>
  <si>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</si>
  <si>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</si>
  <si>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</si>
  <si>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</si>
  <si>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</si>
  <si>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</si>
  <si>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</si>
  <si>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</si>
  <si>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</si>
  <si>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</si>
  <si>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</si>
  <si>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</si>
  <si>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</si>
  <si>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</si>
  <si>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</si>
  <si>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</si>
  <si>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</si>
  <si>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</si>
  <si>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</si>
  <si>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</si>
  <si>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</si>
  <si>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</si>
  <si>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</si>
  <si>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</si>
  <si>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</si>
  <si>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</si>
  <si>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</si>
  <si>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</si>
  <si>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</si>
  <si>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</si>
  <si>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</si>
  <si>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</si>
  <si>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</si>
  <si>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</si>
  <si>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</si>
  <si>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</si>
  <si>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</si>
  <si>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</si>
  <si>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</si>
  <si>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</si>
  <si>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</si>
  <si>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</si>
  <si>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</si>
  <si>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</si>
  <si>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</si>
  <si>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</si>
  <si>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</si>
  <si>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</si>
  <si>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</si>
  <si>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</si>
  <si>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</si>
  <si>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</si>
  <si>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</si>
  <si>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</si>
  <si>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</si>
  <si>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</si>
  <si>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</si>
  <si>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</si>
  <si>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</si>
  <si>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</si>
  <si>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</si>
  <si>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</si>
  <si>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</si>
  <si>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</si>
  <si>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</si>
  <si>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</si>
  <si>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</si>
  <si>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</si>
  <si>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</si>
  <si>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</si>
  <si>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</si>
  <si>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</si>
  <si>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</si>
  <si>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</si>
  <si>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</si>
  <si>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</si>
  <si>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</si>
  <si>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</si>
  <si>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</si>
  <si>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</si>
  <si>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</si>
  <si>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</si>
  <si>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</si>
  <si>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</si>
  <si>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</si>
  <si>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</si>
  <si>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</si>
  <si>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</si>
  <si>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</si>
  <si>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</si>
  <si>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</si>
  <si>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</si>
  <si>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</si>
  <si>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</si>
  <si>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</si>
  <si>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</si>
  <si>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</si>
  <si>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</si>
  <si>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</si>
  <si>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</si>
  <si>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</si>
  <si>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</si>
  <si>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</si>
  <si>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</si>
  <si>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</si>
  <si>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</si>
  <si>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</si>
  <si>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</si>
  <si>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</si>
  <si>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</si>
  <si>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</si>
  <si>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</si>
  <si>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</si>
  <si>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</si>
  <si>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</si>
  <si>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</si>
  <si>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</si>
  <si>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</si>
  <si>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</si>
  <si>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</si>
  <si>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</si>
  <si>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</si>
  <si>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</si>
  <si>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</si>
  <si>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</si>
  <si>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</si>
  <si>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</si>
  <si>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</si>
  <si>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</si>
  <si>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</si>
  <si>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</si>
  <si>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</si>
  <si>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</si>
  <si>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</si>
  <si>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</si>
  <si>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</si>
  <si>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</si>
  <si>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</si>
  <si>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</si>
  <si>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</si>
  <si>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</si>
  <si>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</si>
  <si>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</si>
  <si>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</si>
  <si>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</si>
  <si>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</si>
  <si>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</si>
  <si>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</si>
  <si>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</si>
  <si>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</si>
  <si>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</si>
  <si>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</si>
  <si>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</si>
  <si>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</si>
  <si>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</si>
  <si>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</si>
  <si>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</si>
  <si>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</si>
  <si>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</si>
  <si>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</si>
  <si>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</si>
  <si>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</si>
  <si>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</si>
  <si>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</si>
  <si>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</si>
  <si>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</si>
  <si>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</si>
  <si>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</si>
  <si>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</si>
  <si>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</si>
  <si>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</si>
  <si>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</si>
  <si>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</si>
  <si>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</si>
  <si>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</si>
  <si>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</si>
  <si>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</si>
  <si>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</si>
  <si>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</si>
  <si>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</si>
  <si>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</si>
  <si>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</si>
  <si>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</si>
  <si>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</si>
  <si>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</si>
  <si>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</si>
  <si>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</si>
  <si>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</si>
  <si>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</si>
  <si>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</si>
  <si>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</si>
  <si>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</si>
  <si>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</si>
  <si>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</si>
  <si>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</si>
  <si>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</si>
  <si>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</si>
  <si>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</si>
  <si>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</si>
  <si>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</si>
  <si>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</si>
  <si>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</si>
  <si>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</si>
  <si>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</si>
  <si>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</si>
  <si>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</si>
  <si>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</si>
  <si>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</si>
  <si>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</si>
  <si>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</si>
  <si>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</si>
  <si>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</si>
  <si>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</si>
  <si>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</si>
  <si>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</si>
  <si>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</si>
  <si>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</si>
  <si>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</si>
  <si>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</si>
  <si>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</si>
  <si>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</si>
  <si>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</si>
  <si>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</si>
  <si>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</si>
  <si>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</si>
  <si>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</si>
  <si>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</si>
  <si>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</si>
  <si>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</si>
  <si>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</si>
  <si>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</si>
  <si>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</si>
  <si>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</si>
  <si>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</si>
  <si>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</si>
  <si>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</si>
  <si>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</si>
  <si>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</si>
  <si>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</si>
  <si>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</si>
  <si>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</si>
  <si>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</si>
  <si>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</si>
  <si>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</si>
  <si>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</si>
  <si>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</si>
  <si>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</si>
  <si>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</si>
  <si>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</si>
  <si>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</si>
  <si>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</si>
  <si>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</si>
  <si>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</si>
  <si>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</si>
  <si>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</si>
  <si>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</si>
  <si>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</si>
  <si>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</si>
  <si>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</si>
  <si>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</si>
  <si>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</si>
  <si>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</si>
  <si>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</si>
  <si>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</si>
  <si>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</si>
  <si>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</si>
  <si>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</si>
  <si>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</si>
  <si>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</si>
  <si>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</si>
  <si>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</si>
  <si>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</si>
  <si>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</si>
  <si>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</si>
  <si>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</si>
  <si>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</si>
  <si>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</si>
  <si>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</si>
  <si>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</si>
  <si>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</si>
  <si>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</si>
  <si>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</si>
  <si>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</si>
  <si>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</si>
  <si>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</si>
  <si>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</si>
  <si>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</si>
  <si>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</si>
  <si>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</si>
  <si>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</si>
  <si>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</si>
  <si>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</si>
  <si>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</si>
  <si>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</si>
  <si>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</si>
  <si>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</si>
  <si>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</si>
  <si>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</si>
  <si>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</si>
  <si>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</si>
  <si>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</si>
  <si>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</si>
  <si>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</si>
  <si>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</si>
  <si>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</si>
  <si>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</si>
  <si>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</si>
  <si>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</si>
  <si>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</si>
  <si>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</si>
  <si>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</si>
  <si>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</si>
  <si>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</si>
  <si>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</si>
  <si>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</si>
  <si>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</si>
  <si>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</si>
  <si>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</si>
  <si>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</si>
  <si>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</si>
  <si>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</si>
  <si>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</si>
  <si>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</si>
  <si>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</si>
  <si>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</si>
  <si>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</si>
  <si>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</si>
  <si>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</si>
  <si>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</si>
  <si>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</si>
  <si>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</si>
  <si>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</si>
  <si>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</si>
  <si>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</si>
  <si>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</si>
  <si>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</si>
  <si>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</si>
  <si>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</si>
  <si>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</si>
  <si>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</si>
  <si>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</si>
  <si>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</si>
  <si>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</si>
  <si>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</si>
  <si>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</si>
  <si>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</si>
  <si>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</si>
  <si>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</si>
  <si>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</si>
  <si>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</si>
  <si>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</si>
  <si>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</si>
  <si>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</si>
  <si>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</si>
  <si>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</si>
  <si>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</si>
  <si>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</si>
  <si>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</si>
  <si>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</si>
  <si>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</si>
  <si>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</si>
  <si>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</si>
  <si>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</si>
  <si>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</si>
  <si>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</si>
  <si>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</si>
  <si>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</si>
  <si>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</si>
  <si>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</si>
  <si>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</si>
  <si>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</si>
  <si>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</si>
  <si>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</si>
  <si>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</si>
  <si>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</si>
  <si>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</si>
  <si>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</si>
  <si>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</si>
  <si>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</si>
  <si>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</si>
  <si>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</si>
  <si>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</si>
  <si>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</si>
  <si>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</si>
  <si>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</si>
  <si>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</si>
  <si>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</si>
  <si>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</si>
  <si>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</si>
  <si>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</si>
  <si>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</si>
  <si>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</si>
  <si>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</si>
  <si>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</si>
  <si>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</si>
  <si>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</si>
  <si>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</si>
  <si>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</si>
  <si>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</si>
  <si>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</si>
  <si>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</si>
  <si>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</si>
  <si>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</si>
  <si>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</si>
  <si>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</si>
  <si>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</si>
  <si>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</si>
  <si>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</si>
  <si>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</si>
  <si>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</si>
  <si>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</si>
  <si>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</si>
  <si>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</si>
  <si>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</si>
  <si>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</si>
  <si>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</si>
  <si>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</si>
  <si>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</si>
  <si>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</si>
  <si>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</si>
  <si>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</si>
  <si>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</si>
  <si>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</si>
  <si>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</si>
  <si>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</si>
  <si>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</si>
  <si>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</si>
  <si>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</si>
  <si>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</si>
  <si>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</si>
  <si>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</si>
  <si>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</si>
  <si>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</si>
  <si>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</si>
  <si>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</si>
  <si>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</si>
  <si>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</si>
  <si>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</si>
  <si>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</si>
  <si>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</si>
  <si>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</si>
  <si>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</si>
  <si>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</si>
  <si>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</si>
  <si>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</si>
  <si>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</si>
  <si>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</si>
  <si>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</si>
  <si>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</si>
  <si>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</si>
  <si>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</si>
  <si>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</si>
  <si>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</si>
  <si>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</si>
  <si>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</si>
  <si>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</si>
  <si>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</si>
  <si>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</si>
  <si>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</si>
  <si>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</si>
  <si>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</si>
  <si>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</si>
  <si>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</si>
  <si>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</si>
  <si>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</si>
  <si>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</si>
  <si>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</si>
  <si>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</si>
  <si>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</si>
  <si>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</si>
  <si>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</si>
  <si>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</si>
  <si>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</si>
  <si>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</si>
  <si>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</si>
  <si>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</si>
  <si>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</si>
  <si>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</si>
  <si>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</si>
  <si>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</si>
  <si>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</si>
  <si>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</si>
  <si>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</si>
  <si>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</si>
  <si>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</si>
  <si>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</si>
  <si>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</si>
  <si>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</si>
  <si>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</si>
  <si>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</si>
  <si>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</si>
  <si>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</si>
  <si>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</si>
  <si>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</si>
  <si>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</si>
  <si>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</si>
  <si>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</si>
  <si>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</si>
  <si>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</si>
  <si>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</si>
  <si>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</si>
  <si>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</si>
  <si>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</si>
  <si>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</si>
  <si>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</si>
  <si>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</si>
  <si>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</si>
  <si>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</si>
  <si>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</si>
  <si>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</si>
  <si>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</si>
  <si>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</si>
  <si>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</si>
  <si>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</si>
  <si>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</si>
  <si>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</si>
  <si>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</si>
  <si>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</si>
  <si>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</si>
  <si>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</si>
  <si>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</si>
  <si>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</si>
  <si>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</si>
  <si>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</si>
  <si>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</si>
  <si>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</si>
  <si>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</si>
  <si>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</si>
  <si>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</si>
  <si>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</si>
  <si>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</si>
  <si>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</si>
  <si>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</si>
  <si>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</si>
  <si>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</si>
  <si>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</si>
  <si>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</si>
  <si>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</si>
  <si>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</si>
  <si>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</si>
  <si>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</si>
  <si>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</si>
  <si>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</si>
  <si>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</si>
  <si>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</si>
  <si>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</si>
  <si>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</si>
  <si>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</si>
  <si>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</si>
  <si>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</si>
  <si>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</si>
  <si>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</si>
  <si>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</si>
  <si>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</si>
  <si>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</si>
  <si>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</si>
  <si>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</si>
  <si>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</si>
  <si>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</si>
  <si>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</si>
  <si>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</si>
  <si>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</si>
  <si>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</si>
  <si>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</si>
  <si>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</si>
  <si>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</si>
  <si>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</si>
  <si>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</si>
  <si>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</si>
  <si>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</si>
  <si>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</si>
  <si>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</si>
  <si>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</si>
  <si>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</si>
  <si>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</si>
  <si>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</si>
  <si>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</si>
  <si>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</si>
  <si>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</si>
  <si>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</si>
  <si>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</si>
  <si>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</si>
  <si>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</si>
  <si>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</si>
  <si>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</si>
  <si>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</si>
  <si>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</si>
  <si>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</si>
  <si>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</si>
  <si>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</si>
  <si>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</si>
  <si>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</si>
  <si>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</si>
  <si>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</si>
  <si>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</si>
  <si>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</si>
  <si>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</si>
  <si>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</si>
  <si>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</si>
  <si>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</si>
  <si>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</si>
  <si>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</si>
  <si>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</si>
  <si>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</si>
  <si>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</si>
  <si>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</si>
  <si>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</si>
  <si>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</si>
  <si>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</si>
  <si>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</si>
  <si>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</si>
  <si>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</si>
  <si>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</si>
  <si>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</si>
  <si>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</si>
  <si>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</si>
  <si>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</si>
  <si>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</si>
  <si>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</si>
  <si>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</si>
  <si>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</si>
  <si>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</si>
  <si>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</si>
  <si>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</si>
  <si>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</si>
  <si>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</si>
  <si>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</si>
  <si>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</si>
  <si>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</si>
  <si>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</si>
  <si>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</si>
  <si>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</si>
  <si>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</si>
  <si>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</si>
  <si>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</si>
  <si>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</si>
  <si>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</si>
  <si>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</si>
  <si>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</si>
  <si>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</si>
  <si>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</si>
  <si>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</si>
  <si>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</si>
  <si>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</si>
  <si>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</si>
  <si>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</si>
  <si>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</si>
  <si>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</si>
  <si>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</si>
  <si>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</si>
  <si>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</si>
  <si>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</si>
  <si>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</si>
  <si>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</si>
  <si>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</si>
  <si>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</si>
  <si>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</si>
  <si>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</si>
  <si>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</si>
  <si>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</si>
  <si>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</si>
  <si>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</si>
  <si>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</si>
  <si>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</si>
  <si>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</si>
  <si>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</si>
  <si>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</si>
  <si>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</si>
  <si>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</si>
  <si>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</si>
  <si>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</si>
  <si>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</si>
  <si>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</si>
  <si>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</si>
  <si>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</si>
  <si>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</si>
  <si>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</si>
  <si>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</si>
  <si>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</si>
  <si>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</si>
  <si>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</si>
  <si>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</si>
  <si>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</si>
  <si>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</si>
  <si>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</si>
  <si>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</si>
  <si>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</si>
  <si>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</si>
  <si>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</si>
  <si>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</si>
  <si>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</si>
  <si>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</si>
  <si>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</si>
  <si>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</si>
  <si>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</si>
  <si>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</si>
  <si>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</si>
  <si>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</si>
  <si>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</si>
  <si>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</si>
  <si>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</si>
  <si>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</si>
  <si>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</si>
  <si>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</si>
  <si>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</si>
  <si>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</si>
  <si>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</si>
  <si>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</si>
  <si>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</si>
  <si>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</si>
  <si>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</si>
  <si>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</si>
  <si>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</si>
  <si>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</si>
  <si>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</si>
  <si>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</si>
  <si>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</si>
  <si>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</si>
  <si>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</si>
  <si>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</si>
  <si>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</si>
  <si>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</si>
  <si>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</si>
  <si>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</si>
  <si>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</si>
  <si>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</si>
  <si>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</si>
  <si>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</si>
  <si>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</si>
  <si>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</si>
  <si>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</si>
  <si>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</si>
  <si>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</si>
  <si>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</si>
  <si>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</si>
  <si>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</si>
  <si>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</si>
  <si>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</si>
  <si>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</si>
  <si>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</si>
  <si>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</si>
  <si>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</si>
  <si>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</si>
  <si>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</si>
  <si>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</si>
  <si>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</si>
  <si>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</si>
  <si>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</si>
  <si>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</si>
  <si>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</si>
  <si>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</si>
  <si>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</si>
  <si>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</si>
  <si>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</si>
  <si>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</si>
  <si>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</si>
  <si>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</si>
  <si>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</si>
  <si>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</si>
  <si>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</si>
  <si>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</si>
  <si>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</si>
  <si>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</si>
  <si>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</si>
  <si>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</si>
  <si>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</si>
  <si>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</si>
  <si>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</si>
  <si>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</si>
  <si>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</si>
  <si>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</si>
  <si>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</si>
  <si>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</si>
  <si>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</si>
  <si>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</si>
  <si>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</si>
  <si>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</si>
  <si>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</si>
  <si>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</si>
  <si>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</si>
  <si>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</si>
  <si>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</si>
  <si>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</si>
  <si>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</si>
  <si>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</si>
  <si>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</si>
  <si>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</si>
  <si>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</si>
  <si>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</si>
  <si>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</si>
  <si>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</si>
  <si>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</si>
  <si>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</si>
  <si>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</si>
  <si>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</si>
  <si>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</si>
  <si>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</si>
  <si>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</si>
  <si>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</si>
  <si>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</si>
  <si>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</si>
  <si>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</si>
  <si>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</si>
  <si>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</si>
  <si>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</si>
  <si>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</si>
  <si>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</si>
  <si>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</si>
  <si>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</si>
  <si>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</si>
  <si>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</si>
  <si>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</si>
  <si>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</si>
  <si>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</si>
  <si>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</si>
  <si>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</si>
  <si>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</si>
  <si>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</si>
  <si>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</si>
  <si>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</si>
  <si>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</si>
  <si>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</si>
  <si>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</si>
  <si>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</si>
  <si>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</si>
  <si>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</si>
  <si>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</si>
  <si>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</si>
  <si>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</si>
  <si>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</si>
  <si>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</si>
  <si>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</si>
  <si>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</si>
  <si>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</si>
  <si>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</si>
  <si>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</si>
  <si>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</si>
  <si>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</si>
  <si>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</si>
  <si>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</si>
  <si>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</si>
  <si>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</si>
  <si>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</si>
  <si>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</si>
  <si>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</si>
  <si>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</si>
  <si>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</si>
  <si>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</si>
  <si>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</si>
  <si>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</si>
  <si>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</si>
  <si>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</si>
  <si>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</si>
  <si>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</si>
  <si>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</si>
  <si>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</si>
  <si>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</si>
  <si>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</si>
  <si>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</si>
  <si>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</si>
  <si>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</si>
  <si>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</si>
  <si>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</si>
  <si>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</si>
  <si>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</si>
  <si>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</si>
  <si>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</si>
  <si>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</si>
  <si>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</si>
  <si>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</si>
  <si>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</si>
  <si>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</si>
  <si>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</si>
  <si>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</si>
  <si>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</si>
  <si>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</si>
  <si>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</si>
  <si>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</si>
  <si>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</si>
  <si>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</si>
  <si>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</si>
  <si>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</si>
  <si>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</si>
  <si>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</si>
  <si>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</si>
  <si>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</si>
  <si>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</si>
  <si>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</si>
  <si>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</si>
  <si>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</si>
  <si>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</si>
  <si>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</si>
  <si>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</si>
  <si>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</si>
  <si>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</si>
  <si>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</si>
  <si>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</si>
  <si>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</si>
  <si>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</si>
  <si>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</si>
  <si>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</si>
  <si>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</si>
  <si>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</si>
  <si>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</si>
  <si>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</si>
  <si>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</si>
  <si>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</si>
  <si>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</si>
  <si>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</si>
  <si>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</si>
  <si>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</si>
  <si>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</si>
  <si>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</si>
  <si>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</si>
  <si>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</si>
  <si>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</si>
  <si>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</si>
  <si>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</si>
  <si>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</si>
  <si>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</si>
  <si>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</si>
  <si>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</si>
  <si>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</si>
  <si>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</si>
  <si>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</si>
  <si>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</si>
  <si>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</si>
  <si>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</si>
  <si>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</si>
  <si>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</si>
  <si>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</si>
  <si>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</si>
  <si>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</si>
  <si>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</si>
  <si>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</si>
  <si>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</si>
  <si>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</si>
  <si>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</si>
  <si>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</si>
  <si>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</si>
  <si>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</si>
  <si>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</si>
  <si>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</si>
  <si>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</si>
  <si>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</si>
  <si>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</si>
  <si>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</si>
  <si>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</si>
  <si>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</si>
  <si>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</si>
  <si>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</si>
  <si>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</si>
  <si>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</si>
  <si>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</si>
  <si>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</si>
  <si>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</si>
  <si>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</si>
  <si>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</si>
  <si>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</si>
  <si>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</si>
  <si>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</si>
  <si>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</si>
  <si>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</si>
  <si>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</si>
  <si>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</si>
  <si>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</si>
  <si>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</si>
  <si>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</si>
  <si>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</si>
  <si>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</si>
  <si>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</si>
  <si>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</si>
  <si>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</si>
  <si>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</si>
  <si>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</si>
  <si>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</si>
  <si>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</si>
  <si>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</si>
  <si>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</si>
  <si>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</si>
  <si>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</si>
  <si>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</si>
  <si>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</si>
  <si>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</si>
  <si>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</si>
  <si>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</si>
  <si>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</si>
  <si>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</si>
  <si>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</si>
  <si>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</si>
  <si>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</si>
  <si>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</si>
  <si>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</si>
  <si>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</si>
  <si>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</si>
  <si>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</si>
  <si>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</si>
  <si>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</si>
  <si>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</si>
  <si>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</si>
  <si>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</si>
  <si>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</si>
  <si>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</si>
  <si>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</si>
  <si>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</si>
  <si>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</si>
  <si>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</si>
  <si>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</si>
  <si>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</si>
  <si>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</si>
  <si>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</si>
  <si>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</si>
  <si>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</si>
  <si>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</si>
  <si>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</si>
  <si>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</si>
  <si>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</si>
  <si>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</si>
  <si>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</si>
  <si>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</si>
  <si>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</si>
  <si>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</si>
  <si>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</si>
  <si>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</si>
  <si>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</si>
  <si>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</si>
  <si>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</si>
  <si>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</si>
  <si>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</si>
  <si>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</si>
  <si>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</si>
  <si>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</si>
  <si>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</si>
  <si>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</si>
  <si>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</si>
  <si>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</si>
  <si>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</si>
  <si>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</si>
  <si>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</si>
  <si>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</si>
  <si>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</si>
  <si>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</si>
  <si>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</si>
  <si>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</si>
  <si>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</si>
  <si>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</si>
  <si>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</si>
  <si>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</si>
  <si>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</si>
  <si>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</si>
  <si>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</si>
  <si>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</si>
  <si>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</si>
  <si>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</si>
  <si>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</si>
  <si>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</si>
  <si>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</si>
  <si>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</si>
  <si>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</si>
  <si>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</si>
  <si>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</si>
  <si>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</si>
  <si>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</si>
  <si>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</si>
  <si>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</si>
  <si>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</si>
  <si>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</si>
  <si>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</si>
  <si>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</si>
  <si>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</si>
  <si>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</si>
  <si>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</si>
  <si>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</si>
  <si>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</si>
  <si>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</si>
  <si>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</si>
  <si>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</si>
  <si>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</si>
  <si>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</si>
  <si>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</si>
  <si>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</si>
  <si>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</si>
  <si>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</si>
  <si>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</si>
  <si>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</si>
  <si>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</si>
  <si>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</si>
  <si>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</si>
  <si>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</si>
  <si>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</si>
  <si>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</si>
  <si>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</si>
  <si>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</si>
  <si>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</si>
  <si>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</si>
  <si>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</si>
  <si>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</si>
  <si>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</si>
  <si>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</si>
  <si>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</si>
  <si>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</si>
  <si>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</si>
  <si>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</si>
  <si>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</si>
  <si>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</si>
  <si>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</si>
  <si>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</si>
  <si>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</si>
  <si>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</si>
  <si>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</si>
  <si>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</si>
  <si>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</si>
  <si>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</si>
  <si>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</si>
  <si>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</si>
  <si>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</si>
  <si>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</si>
  <si>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</si>
  <si>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</si>
  <si>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</si>
  <si>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</si>
  <si>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</si>
  <si>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</si>
  <si>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</si>
  <si>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</si>
  <si>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</si>
  <si>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</si>
  <si>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</si>
  <si>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</si>
  <si>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</si>
  <si>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</si>
  <si>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</si>
  <si>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</si>
  <si>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</si>
  <si>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</si>
  <si>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</si>
  <si>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</si>
  <si>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</si>
  <si>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</si>
  <si>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</si>
  <si>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</si>
  <si>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</si>
  <si>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</si>
  <si>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</si>
  <si>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</si>
  <si>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</si>
  <si>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</si>
  <si>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</si>
  <si>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</si>
  <si>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</si>
  <si>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</si>
  <si>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</si>
  <si>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</si>
  <si>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</si>
  <si>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</si>
  <si>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</si>
  <si>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</si>
  <si>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</si>
  <si>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</si>
  <si>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</si>
  <si>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</si>
  <si>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</si>
  <si>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</si>
  <si>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</si>
  <si>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</si>
  <si>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</si>
  <si>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</si>
  <si>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</si>
  <si>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</si>
  <si>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</si>
  <si>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</si>
  <si>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</si>
  <si>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</si>
  <si>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</si>
  <si>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</si>
  <si>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</si>
  <si>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</si>
  <si>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</si>
  <si>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</si>
  <si>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</si>
  <si>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</si>
  <si>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</si>
  <si>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</si>
  <si>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</si>
  <si>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</si>
  <si>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</si>
  <si>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</si>
  <si>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</si>
  <si>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</si>
  <si>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</si>
  <si>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</si>
  <si>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</si>
  <si>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</si>
  <si>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</si>
  <si>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</si>
  <si>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</si>
  <si>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</si>
  <si>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</si>
  <si>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</si>
  <si>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</si>
  <si>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</si>
  <si>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</si>
  <si>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</si>
  <si>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</si>
  <si>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</si>
  <si>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</si>
  <si>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</si>
  <si>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</si>
  <si>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</si>
  <si>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</si>
  <si>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</si>
  <si>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</si>
  <si>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</si>
  <si>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</si>
  <si>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</si>
  <si>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</si>
  <si>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</si>
  <si>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</si>
  <si>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</si>
  <si>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</si>
  <si>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</si>
  <si>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</si>
  <si>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</si>
  <si>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</si>
  <si>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</si>
  <si>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</si>
  <si>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</si>
  <si>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</si>
  <si>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</si>
  <si>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</si>
  <si>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</si>
  <si>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</si>
  <si>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</si>
  <si>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</si>
  <si>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</si>
  <si>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</si>
  <si>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</si>
  <si>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</si>
  <si>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</si>
  <si>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</si>
  <si>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</si>
  <si>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</si>
  <si>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</si>
  <si>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</si>
  <si>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</si>
  <si>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</si>
  <si>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</si>
  <si>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</si>
  <si>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</si>
  <si>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</si>
  <si>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</si>
  <si>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</si>
  <si>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</si>
  <si>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</si>
  <si>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</si>
  <si>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</si>
  <si>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</si>
  <si>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</si>
  <si>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</si>
  <si>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</si>
  <si>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</si>
  <si>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</si>
  <si>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</si>
  <si>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</si>
  <si>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</si>
  <si>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</si>
  <si>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</si>
  <si>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</si>
  <si>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</si>
  <si>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</si>
  <si>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</si>
  <si>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</si>
  <si>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</si>
  <si>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</si>
  <si>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</si>
  <si>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</si>
  <si>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</si>
  <si>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</si>
  <si>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</si>
  <si>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</si>
  <si>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</si>
  <si>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</si>
  <si>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</si>
  <si>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</si>
  <si>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</si>
  <si>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</si>
  <si>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</si>
  <si>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</si>
  <si>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</si>
  <si>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</si>
  <si>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</si>
  <si>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</si>
  <si>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</si>
  <si>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</si>
  <si>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</si>
  <si>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</si>
  <si>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</si>
  <si>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</si>
  <si>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</si>
  <si>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</si>
  <si>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</si>
  <si>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</si>
  <si>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</si>
  <si>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</si>
  <si>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</si>
  <si>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</si>
  <si>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</si>
  <si>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</si>
  <si>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</si>
  <si>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</si>
  <si>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</si>
  <si>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</si>
  <si>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</si>
  <si>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</si>
  <si>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</si>
  <si>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</si>
  <si>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</si>
  <si>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</si>
  <si>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</si>
  <si>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</si>
  <si>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</si>
  <si>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</si>
  <si>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</si>
  <si>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</si>
  <si>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</si>
  <si>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</si>
  <si>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</si>
  <si>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</si>
  <si>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</si>
  <si>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</si>
  <si>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</si>
  <si>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</si>
  <si>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</si>
  <si>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</si>
  <si>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</si>
  <si>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</si>
  <si>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</si>
  <si>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</si>
  <si>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</si>
  <si>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</si>
  <si>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</si>
  <si>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</si>
  <si>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</si>
  <si>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</si>
  <si>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</si>
  <si>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</si>
  <si>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</si>
  <si>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</si>
  <si>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</si>
  <si>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</si>
  <si>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</si>
  <si>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</si>
  <si>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</si>
  <si>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</si>
  <si>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</si>
  <si>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</si>
  <si>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</si>
  <si>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</si>
  <si>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</si>
  <si>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</si>
  <si>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</si>
  <si>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</si>
  <si>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</si>
  <si>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</si>
  <si>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</si>
  <si>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</si>
  <si>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</si>
  <si>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</si>
  <si>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</si>
  <si>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</si>
  <si>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</si>
  <si>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</si>
  <si>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</si>
  <si>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</si>
  <si>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</si>
  <si>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</si>
  <si>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</si>
  <si>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</si>
  <si>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</si>
  <si>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</si>
  <si>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</si>
  <si>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</si>
  <si>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</si>
  <si>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</si>
  <si>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</si>
  <si>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</si>
  <si>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</si>
  <si>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</si>
  <si>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</si>
  <si>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</si>
  <si>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</si>
  <si>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</si>
  <si>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</si>
  <si>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</si>
  <si>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</si>
  <si>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</si>
  <si>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</si>
  <si>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</si>
  <si>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</si>
  <si>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</si>
  <si>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</si>
  <si>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</si>
  <si>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</si>
  <si>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</si>
  <si>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</si>
  <si>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</si>
  <si>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</si>
  <si>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</si>
  <si>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</si>
  <si>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</si>
  <si>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</si>
  <si>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</si>
  <si>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</si>
  <si>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</si>
  <si>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</si>
  <si>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</si>
  <si>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</si>
  <si>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</si>
  <si>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</si>
  <si>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</si>
  <si>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</si>
  <si>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</si>
  <si>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</si>
  <si>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</si>
  <si>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</si>
  <si>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</si>
  <si>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</si>
  <si>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</si>
  <si>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</si>
  <si>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</si>
  <si>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</si>
  <si>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</si>
  <si>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</si>
  <si>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</si>
  <si>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</si>
  <si>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</si>
  <si>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</si>
  <si>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</si>
  <si>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</si>
  <si>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</si>
  <si>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</si>
  <si>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</si>
  <si>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</si>
  <si>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</si>
  <si>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</si>
  <si>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</si>
  <si>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</si>
  <si>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</si>
  <si>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</si>
  <si>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</si>
  <si>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</si>
  <si>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</si>
  <si>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</si>
  <si>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</si>
  <si>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</si>
  <si>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</si>
  <si>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</si>
  <si>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</si>
  <si>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</si>
  <si>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</si>
  <si>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</si>
  <si>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</si>
  <si>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</si>
  <si>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</si>
  <si>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</si>
  <si>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</si>
  <si>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</si>
  <si>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</si>
  <si>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</si>
  <si>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</si>
  <si>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</si>
  <si>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</si>
  <si>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</si>
  <si>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</si>
  <si>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</si>
  <si>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</si>
  <si>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</si>
  <si>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</si>
  <si>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</si>
  <si>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</si>
  <si>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</si>
  <si>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</si>
  <si>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</si>
  <si>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</si>
  <si>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</si>
  <si>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</si>
  <si>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</si>
  <si>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</si>
  <si>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</si>
  <si>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</si>
  <si>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</si>
  <si>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</si>
  <si>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</si>
  <si>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</si>
  <si>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</si>
  <si>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</si>
  <si>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</si>
  <si>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</si>
  <si>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</si>
  <si>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</si>
  <si>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</si>
  <si>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</si>
  <si>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</si>
  <si>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</si>
  <si>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</si>
  <si>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</si>
  <si>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</si>
  <si>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</si>
  <si>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</si>
  <si>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</si>
  <si>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</si>
  <si>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</si>
  <si>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</si>
  <si>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</si>
  <si>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</si>
  <si>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</si>
  <si>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</si>
  <si>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</si>
  <si>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</si>
  <si>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</si>
  <si>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</si>
  <si>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</si>
  <si>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</si>
  <si>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</si>
  <si>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</si>
  <si>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</si>
  <si>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</si>
  <si>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</si>
  <si>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</si>
  <si>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</si>
  <si>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</si>
  <si>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</si>
  <si>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</si>
  <si>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</si>
  <si>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</si>
  <si>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</si>
  <si>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</si>
  <si>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</si>
  <si>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</si>
  <si>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</si>
  <si>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</si>
  <si>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</si>
  <si>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</si>
  <si>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</si>
  <si>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</si>
  <si>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</si>
  <si>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</si>
  <si>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</si>
  <si>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</si>
  <si>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</si>
  <si>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</si>
  <si>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</si>
  <si>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</si>
  <si>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</si>
  <si>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</si>
  <si>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</si>
  <si>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</si>
  <si>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</si>
  <si>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</si>
  <si>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</si>
  <si>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</si>
  <si>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</si>
  <si>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</si>
  <si>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</si>
  <si>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</si>
  <si>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</si>
  <si>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</si>
  <si>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</si>
  <si>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</si>
  <si>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</si>
  <si>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</si>
  <si>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</si>
  <si>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</si>
  <si>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</si>
  <si>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</si>
  <si>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</si>
  <si>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</si>
  <si>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</si>
  <si>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</si>
  <si>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</si>
  <si>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</si>
  <si>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</si>
  <si>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</si>
  <si>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</si>
  <si>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</si>
  <si>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</si>
  <si>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</si>
  <si>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</si>
  <si>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</si>
  <si>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</si>
  <si>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</si>
  <si>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</si>
  <si>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</si>
  <si>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</si>
  <si>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</si>
  <si>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</si>
  <si>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</si>
  <si>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</si>
  <si>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</si>
  <si>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</si>
  <si>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</si>
  <si>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</si>
  <si>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</si>
  <si>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</si>
  <si>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</si>
  <si>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</si>
  <si>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</si>
  <si>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</si>
  <si>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</si>
  <si>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</si>
  <si>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</si>
  <si>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</si>
  <si>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</si>
  <si>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</si>
  <si>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</si>
  <si>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</si>
  <si>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</si>
  <si>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</si>
  <si>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</si>
  <si>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</si>
  <si>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</si>
  <si>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</si>
  <si>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</si>
  <si>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</si>
  <si>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</si>
  <si>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</si>
  <si>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</si>
  <si>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</si>
  <si>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</si>
  <si>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</si>
  <si>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</si>
  <si>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</si>
  <si>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</si>
  <si>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</si>
  <si>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</si>
  <si>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</si>
  <si>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</si>
  <si>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</si>
  <si>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</si>
  <si>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</si>
  <si>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</si>
  <si>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</si>
  <si>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</si>
  <si>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</si>
  <si>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</si>
  <si>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</si>
  <si>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</si>
  <si>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</si>
  <si>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</si>
  <si>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</si>
  <si>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</si>
  <si>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</si>
  <si>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</si>
  <si>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</si>
  <si>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</si>
  <si>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</si>
  <si>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</si>
  <si>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</si>
  <si>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</si>
  <si>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</si>
  <si>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</si>
  <si>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</si>
  <si>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</si>
  <si>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</si>
  <si>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</si>
  <si>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</si>
  <si>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</si>
  <si>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</si>
  <si>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</si>
  <si>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</si>
  <si>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</si>
  <si>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</si>
  <si>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</si>
  <si>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</si>
  <si>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</si>
  <si>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</si>
  <si>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</si>
  <si>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</si>
  <si>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</si>
  <si>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</si>
  <si>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</si>
  <si>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</si>
  <si>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</si>
  <si>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</si>
  <si>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</si>
  <si>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</si>
  <si>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</si>
  <si>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</si>
  <si>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</si>
  <si>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</si>
  <si>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</si>
  <si>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</si>
  <si>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</si>
  <si>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</si>
  <si>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</si>
  <si>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</si>
  <si>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</si>
  <si>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</si>
  <si>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</si>
  <si>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</si>
  <si>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</si>
  <si>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</si>
  <si>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</si>
  <si>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</si>
  <si>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</si>
  <si>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</si>
  <si>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</si>
  <si>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</si>
  <si>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</si>
  <si>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</si>
  <si>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</si>
  <si>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</si>
  <si>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</si>
  <si>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</si>
  <si>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</si>
  <si>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</si>
  <si>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</si>
  <si>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</si>
  <si>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</si>
  <si>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</si>
  <si>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</si>
  <si>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</si>
  <si>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</si>
  <si>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</si>
  <si>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</si>
  <si>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</si>
  <si>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</si>
  <si>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</si>
  <si>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</si>
  <si>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</si>
  <si>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</si>
  <si>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</si>
  <si>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</si>
  <si>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</si>
  <si>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</si>
  <si>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</si>
  <si>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</si>
  <si>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</si>
  <si>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</si>
  <si>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</si>
  <si>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</si>
  <si>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</si>
  <si>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</si>
  <si>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</si>
  <si>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</si>
  <si>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</si>
  <si>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</si>
  <si>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</si>
  <si>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</si>
  <si>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</si>
  <si>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</si>
  <si>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</si>
  <si>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</si>
  <si>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</si>
  <si>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</si>
  <si>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</si>
  <si>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</si>
  <si>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</si>
  <si>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</si>
  <si>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</si>
  <si>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</si>
  <si>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</si>
  <si>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</si>
  <si>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</si>
  <si>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</si>
  <si>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</si>
  <si>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</si>
  <si>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</si>
  <si>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</si>
  <si>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</si>
  <si>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</si>
  <si>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</si>
  <si>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</si>
  <si>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</si>
  <si>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</si>
  <si>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</si>
  <si>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</si>
  <si>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</si>
  <si>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</si>
  <si>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</si>
  <si>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</si>
  <si>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</si>
  <si>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</si>
  <si>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</si>
  <si>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</si>
  <si>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</si>
  <si>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</si>
  <si>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</si>
  <si>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</si>
  <si>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</si>
  <si>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</si>
  <si>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</si>
  <si>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</si>
  <si>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</si>
  <si>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</si>
  <si>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</si>
  <si>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</si>
  <si>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</si>
  <si>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</si>
  <si>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</si>
  <si>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</si>
  <si>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</si>
  <si>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</si>
  <si>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</si>
  <si>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</si>
  <si>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</si>
  <si>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</si>
  <si>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</si>
  <si>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</si>
  <si>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</si>
  <si>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</si>
  <si>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</si>
  <si>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</si>
  <si>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</si>
  <si>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</si>
  <si>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</si>
  <si>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</si>
  <si>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</si>
  <si>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</si>
  <si>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</si>
  <si>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</si>
  <si>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</si>
  <si>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</si>
  <si>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</si>
  <si>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</si>
  <si>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</si>
  <si>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</si>
  <si>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</si>
  <si>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</si>
  <si>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</si>
  <si>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</si>
  <si>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</si>
  <si>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</si>
  <si>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</si>
  <si>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</si>
  <si>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</si>
  <si>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</si>
  <si>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</si>
  <si>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</si>
  <si>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</si>
  <si>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</si>
  <si>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</si>
  <si>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</si>
  <si>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</si>
  <si>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</si>
  <si>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</si>
  <si>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</si>
  <si>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</si>
  <si>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</si>
  <si>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</si>
  <si>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</si>
  <si>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</si>
  <si>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</si>
  <si>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</si>
  <si>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</si>
  <si>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</si>
  <si>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</si>
  <si>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</si>
  <si>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</si>
  <si>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</si>
  <si>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</si>
  <si>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</si>
  <si>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</si>
  <si>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</si>
  <si>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</si>
  <si>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</si>
  <si>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</si>
  <si>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</si>
  <si>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</si>
  <si>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</si>
  <si>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</si>
  <si>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</si>
  <si>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</si>
  <si>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</si>
  <si>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</si>
  <si>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</si>
  <si>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</si>
  <si>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</si>
  <si>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</si>
  <si>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</si>
  <si>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</si>
  <si>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</si>
  <si>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</si>
  <si>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</si>
  <si>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</si>
  <si>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</si>
  <si>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</si>
  <si>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</si>
  <si>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</si>
  <si>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</si>
  <si>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</si>
  <si>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</si>
  <si>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</si>
  <si>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</si>
  <si>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</si>
  <si>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</si>
  <si>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</si>
  <si>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</si>
  <si>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</si>
  <si>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</si>
  <si>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</si>
  <si>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</si>
  <si>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</si>
  <si>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</si>
  <si>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</si>
  <si>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</si>
  <si>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</si>
  <si>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</si>
  <si>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</si>
  <si>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</si>
  <si>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</si>
  <si>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</si>
  <si>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</si>
  <si>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</si>
  <si>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</si>
  <si>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</si>
  <si>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</si>
  <si>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</si>
  <si>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</si>
  <si>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</si>
  <si>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</si>
  <si>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</si>
  <si>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</si>
  <si>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</si>
  <si>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</si>
  <si>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</si>
  <si>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</si>
  <si>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</si>
  <si>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</si>
  <si>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</si>
  <si>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</si>
  <si>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</si>
  <si>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</si>
  <si>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</si>
  <si>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</si>
  <si>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</si>
  <si>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</si>
  <si>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</si>
  <si>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</si>
  <si>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</si>
  <si>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</si>
  <si>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</si>
  <si>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</si>
  <si>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</si>
  <si>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</si>
  <si>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</si>
  <si>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</si>
  <si>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</si>
  <si>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</si>
  <si>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</si>
  <si>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</si>
  <si>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</si>
  <si>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</si>
  <si>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</si>
  <si>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</si>
  <si>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</si>
  <si>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</si>
  <si>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</si>
  <si>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</si>
  <si>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</si>
  <si>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</si>
  <si>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</si>
  <si>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</si>
  <si>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</si>
  <si>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</si>
  <si>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</si>
  <si>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</si>
  <si>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</si>
  <si>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</si>
  <si>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</si>
  <si>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</si>
  <si>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</si>
  <si>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</si>
  <si>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</si>
  <si>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</si>
  <si>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</si>
  <si>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</si>
  <si>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</si>
  <si>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</si>
  <si>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</si>
  <si>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</si>
  <si>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</si>
  <si>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</si>
  <si>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</si>
  <si>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</si>
  <si>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</si>
  <si>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</si>
  <si>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</si>
  <si>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</si>
  <si>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</si>
  <si>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</si>
  <si>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</si>
  <si>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</si>
  <si>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</si>
  <si>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</si>
  <si>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</si>
  <si>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</si>
  <si>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</si>
  <si>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</si>
  <si>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</si>
  <si>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</si>
  <si>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</si>
  <si>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</si>
  <si>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</si>
  <si>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</si>
  <si>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</si>
  <si>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</si>
  <si>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</si>
  <si>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</si>
  <si>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</si>
  <si>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</si>
  <si>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</si>
  <si>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</si>
  <si>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</si>
  <si>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</si>
  <si>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</si>
  <si>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</si>
  <si>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</si>
  <si>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</si>
  <si>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</si>
  <si>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</si>
  <si>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</si>
  <si>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</si>
  <si>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</si>
  <si>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</si>
  <si>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</si>
  <si>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</si>
  <si>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</si>
  <si>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</si>
  <si>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</si>
  <si>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</si>
  <si>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</si>
  <si>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</si>
  <si>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</si>
  <si>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</si>
  <si>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</si>
  <si>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</si>
  <si>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</si>
  <si>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</si>
  <si>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</si>
  <si>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</si>
  <si>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</si>
  <si>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</si>
  <si>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</si>
  <si>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</si>
  <si>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</si>
  <si>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</si>
  <si>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</si>
  <si>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</si>
  <si>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</si>
  <si>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</si>
  <si>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</si>
  <si>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</si>
  <si>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</si>
  <si>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</si>
  <si>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</si>
  <si>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</si>
  <si>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</si>
  <si>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</si>
  <si>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</si>
  <si>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</si>
  <si>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</si>
  <si>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</si>
  <si>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</si>
  <si>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</si>
  <si>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</si>
  <si>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</si>
  <si>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</si>
  <si>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</si>
  <si>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</si>
  <si>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</si>
  <si>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</si>
  <si>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</si>
  <si>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</si>
  <si>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</si>
  <si>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</si>
  <si>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</si>
  <si>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</si>
  <si>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</si>
  <si>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</si>
  <si>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</si>
  <si>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</si>
  <si>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</si>
  <si>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</si>
  <si>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</si>
  <si>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</si>
  <si>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</si>
  <si>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</si>
  <si>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</si>
  <si>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</si>
  <si>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</si>
  <si>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</si>
  <si>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</si>
  <si>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</si>
  <si>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</si>
  <si>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</si>
  <si>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</si>
  <si>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</si>
  <si>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</si>
  <si>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</si>
  <si>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</si>
  <si>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</si>
  <si>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</si>
  <si>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</si>
  <si>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</si>
  <si>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</si>
  <si>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</si>
  <si>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</si>
  <si>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</si>
  <si>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</si>
  <si>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</si>
  <si>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</si>
  <si>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</si>
  <si>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</si>
  <si>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</si>
  <si>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</si>
  <si>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</si>
  <si>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</si>
  <si>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</si>
  <si>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</si>
  <si>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</si>
  <si>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</si>
  <si>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</si>
  <si>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</si>
  <si>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</si>
  <si>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</si>
  <si>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</si>
  <si>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</si>
  <si>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</si>
  <si>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</si>
  <si>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</si>
  <si>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</si>
  <si>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</si>
  <si>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</si>
  <si>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</si>
  <si>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</si>
  <si>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</si>
  <si>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</si>
  <si>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</si>
  <si>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</si>
  <si>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</si>
  <si>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</si>
  <si>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</si>
  <si>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</si>
  <si>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</si>
  <si>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</si>
  <si>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</si>
  <si>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</si>
  <si>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</si>
  <si>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</si>
  <si>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</si>
  <si>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</si>
  <si>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</si>
  <si>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</si>
  <si>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</si>
  <si>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</si>
  <si>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</si>
  <si>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</si>
  <si>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</si>
  <si>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</si>
  <si>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</si>
  <si>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</si>
  <si>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</si>
  <si>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</si>
  <si>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</si>
  <si>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</si>
  <si>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</si>
  <si>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</si>
  <si>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</si>
  <si>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</si>
  <si>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</si>
  <si>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</si>
  <si>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</si>
  <si>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</si>
  <si>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</si>
  <si>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</si>
  <si>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</si>
  <si>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</si>
  <si>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</si>
  <si>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</si>
  <si>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</si>
  <si>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</si>
  <si>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</si>
  <si>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</si>
  <si>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</si>
  <si>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</si>
  <si>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</si>
  <si>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</si>
  <si>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</si>
  <si>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</si>
  <si>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</si>
  <si>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</si>
  <si>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</si>
  <si>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</si>
  <si>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</si>
  <si>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</si>
  <si>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</si>
  <si>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</si>
  <si>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</si>
  <si>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</si>
  <si>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</si>
  <si>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</si>
  <si>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</si>
  <si>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</si>
  <si>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</si>
  <si>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</si>
  <si>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</si>
  <si>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</si>
  <si>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</si>
  <si>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</si>
  <si>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</si>
  <si>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</si>
  <si>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</si>
  <si>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</si>
  <si>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</si>
  <si>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</si>
  <si>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</si>
  <si>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</si>
  <si>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</si>
  <si>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</si>
  <si>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</si>
  <si>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</si>
  <si>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</si>
  <si>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</si>
  <si>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</si>
  <si>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</si>
  <si>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</si>
  <si>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</si>
  <si>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</si>
  <si>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</si>
  <si>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</si>
  <si>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</si>
  <si>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</si>
  <si>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</si>
  <si>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</si>
  <si>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</si>
  <si>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</si>
  <si>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</si>
  <si>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</si>
  <si>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</si>
  <si>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</si>
  <si>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</si>
  <si>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</si>
  <si>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</si>
  <si>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</si>
  <si>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</si>
  <si>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</si>
  <si>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</si>
  <si>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</si>
  <si>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</si>
  <si>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</si>
  <si>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</si>
  <si>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</si>
  <si>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</si>
  <si>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</si>
  <si>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</si>
  <si>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</si>
  <si>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</si>
  <si>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</si>
  <si>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</si>
  <si>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</si>
  <si>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</si>
  <si>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</si>
  <si>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</si>
  <si>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</si>
  <si>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</si>
  <si>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</si>
  <si>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</si>
  <si>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</si>
  <si>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</si>
  <si>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</si>
  <si>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</si>
  <si>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</si>
  <si>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</si>
  <si>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</si>
  <si>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</si>
  <si>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</si>
  <si>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</si>
  <si>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</si>
  <si>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</si>
  <si>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</si>
  <si>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</si>
  <si>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</si>
  <si>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</si>
  <si>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</si>
  <si>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</si>
  <si>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</si>
  <si>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</si>
  <si>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</si>
  <si>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</si>
  <si>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</si>
  <si>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</si>
  <si>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</si>
  <si>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</si>
  <si>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</si>
  <si>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</si>
  <si>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</si>
  <si>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</si>
  <si>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</si>
  <si>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</si>
  <si>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</si>
  <si>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</si>
  <si>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</si>
  <si>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</si>
  <si>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</si>
  <si>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</si>
  <si>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</si>
  <si>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</si>
  <si>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</si>
  <si>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</si>
  <si>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</si>
  <si>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</si>
  <si>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</si>
  <si>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</si>
  <si>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</si>
  <si>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</si>
  <si>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</si>
  <si>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</si>
  <si>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</si>
  <si>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</si>
  <si>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</si>
  <si>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</si>
  <si>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</si>
  <si>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</si>
  <si>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</si>
  <si>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</si>
  <si>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</si>
  <si>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</si>
  <si>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</si>
  <si>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</si>
  <si>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</si>
  <si>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</si>
  <si>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</si>
  <si>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</si>
  <si>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</si>
  <si>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</si>
  <si>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</si>
  <si>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</si>
  <si>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</si>
  <si>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</si>
  <si>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</si>
  <si>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</si>
  <si>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</si>
  <si>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</si>
  <si>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</si>
  <si>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</si>
  <si>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</si>
  <si>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</si>
  <si>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</si>
  <si>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</si>
  <si>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</si>
  <si>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</si>
  <si>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</si>
  <si>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</si>
  <si>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</si>
  <si>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</si>
  <si>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</si>
  <si>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</si>
  <si>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</si>
  <si>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</si>
  <si>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</si>
  <si>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</si>
  <si>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</si>
  <si>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</si>
  <si>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</si>
  <si>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</si>
  <si>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</si>
  <si>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</si>
  <si>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</si>
  <si>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</si>
  <si>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</si>
  <si>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</si>
  <si>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</si>
  <si>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</si>
  <si>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</si>
  <si>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</si>
  <si>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</si>
  <si>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</si>
  <si>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</si>
  <si>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</si>
  <si>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</si>
  <si>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</si>
  <si>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</si>
  <si>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</si>
  <si>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</si>
  <si>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</si>
  <si>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</si>
  <si>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</si>
  <si>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</si>
  <si>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</si>
  <si>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</si>
  <si>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</si>
  <si>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</si>
  <si>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</si>
  <si>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</si>
  <si>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</si>
  <si>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</si>
  <si>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</si>
  <si>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</si>
  <si>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</si>
  <si>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</si>
  <si>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</si>
  <si>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</si>
  <si>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</si>
  <si>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</si>
  <si>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</si>
  <si>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</si>
  <si>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</si>
  <si>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</si>
  <si>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</si>
  <si>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</si>
  <si>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</si>
  <si>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</si>
  <si>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</si>
  <si>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</si>
  <si>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</si>
  <si>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</si>
  <si>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</si>
  <si>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</si>
  <si>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</si>
  <si>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</si>
  <si>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</si>
  <si>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</si>
  <si>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</si>
  <si>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</si>
  <si>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</si>
  <si>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</si>
  <si>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</si>
  <si>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</si>
  <si>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</si>
  <si>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</si>
  <si>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</si>
  <si>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</si>
  <si>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</si>
  <si>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</si>
  <si>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</si>
  <si>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</si>
  <si>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</si>
  <si>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</si>
  <si>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</si>
  <si>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</si>
  <si>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</si>
  <si>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</si>
  <si>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</si>
  <si>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</si>
  <si>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</si>
  <si>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</si>
  <si>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</si>
  <si>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</si>
  <si>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</si>
  <si>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</si>
  <si>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</si>
  <si>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</si>
  <si>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</si>
  <si>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</si>
  <si>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</si>
  <si>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</si>
  <si>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</si>
  <si>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</si>
  <si>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</si>
  <si>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</si>
  <si>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</si>
  <si>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</si>
  <si>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</si>
  <si>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</si>
  <si>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</si>
  <si>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</si>
  <si>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</si>
  <si>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</si>
  <si>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</si>
  <si>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</si>
  <si>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</si>
  <si>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</si>
  <si>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</si>
  <si>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</si>
  <si>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</si>
  <si>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</si>
  <si>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</si>
  <si>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</si>
  <si>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</si>
  <si>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</si>
  <si>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</si>
  <si>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</si>
  <si>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</si>
  <si>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</si>
  <si>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</si>
  <si>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</si>
  <si>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</si>
  <si>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</si>
  <si>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</si>
  <si>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</si>
  <si>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</si>
  <si>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</si>
  <si>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</si>
  <si>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</si>
  <si>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</si>
  <si>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</si>
  <si>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</si>
  <si>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</si>
  <si>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</si>
  <si>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</si>
  <si>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</si>
  <si>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</si>
  <si>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</si>
  <si>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</si>
  <si>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</si>
  <si>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</si>
  <si>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</si>
  <si>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</si>
  <si>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</si>
  <si>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</si>
  <si>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</si>
  <si>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</si>
  <si>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</si>
  <si>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</si>
  <si>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</si>
  <si>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</si>
  <si>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</si>
  <si>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</si>
  <si>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</si>
  <si>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</si>
  <si>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</si>
  <si>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</si>
  <si>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</si>
  <si>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</si>
  <si>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</si>
  <si>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</si>
  <si>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</si>
  <si>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</si>
  <si>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</si>
  <si>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</si>
  <si>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</si>
  <si>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</si>
  <si>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</si>
  <si>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</si>
  <si>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</si>
  <si>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</si>
  <si>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</si>
  <si>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</si>
  <si>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</si>
  <si>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</si>
  <si>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</si>
  <si>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</si>
  <si>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</si>
  <si>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</si>
  <si>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</si>
  <si>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</si>
  <si>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</si>
  <si>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</si>
  <si>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</si>
  <si>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</si>
  <si>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</si>
  <si>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</si>
  <si>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</si>
  <si>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</si>
  <si>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</si>
  <si>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</si>
  <si>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</si>
  <si>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</si>
  <si>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</si>
  <si>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</si>
  <si>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</si>
  <si>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</si>
  <si>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</si>
  <si>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</si>
  <si>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</si>
  <si>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</si>
  <si>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</si>
  <si>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</si>
  <si>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</si>
  <si>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</si>
  <si>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</si>
  <si>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</si>
  <si>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</si>
  <si>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</si>
  <si>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</si>
  <si>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</si>
  <si>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</si>
  <si>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</si>
  <si>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</si>
  <si>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</si>
  <si>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</si>
  <si>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</si>
  <si>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</si>
  <si>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</si>
  <si>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</si>
  <si>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</si>
  <si>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</si>
  <si>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</si>
  <si>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</si>
  <si>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</si>
  <si>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</si>
  <si>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</si>
  <si>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</si>
  <si>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</si>
  <si>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</si>
  <si>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</si>
  <si>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</si>
  <si>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</si>
  <si>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</si>
  <si>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</si>
  <si>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</si>
  <si>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</si>
  <si>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</si>
  <si>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</si>
  <si>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</si>
  <si>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</si>
  <si>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</si>
  <si>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</si>
  <si>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</si>
  <si>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</si>
  <si>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</si>
  <si>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</si>
  <si>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</si>
  <si>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</si>
  <si>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</si>
  <si>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</si>
  <si>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</si>
  <si>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</si>
  <si>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</si>
  <si>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</si>
  <si>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</si>
  <si>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</si>
  <si>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</si>
  <si>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</si>
  <si>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</si>
  <si>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</si>
  <si>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</si>
  <si>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</si>
  <si>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</si>
  <si>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</si>
  <si>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</si>
  <si>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</si>
  <si>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</si>
  <si>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</si>
  <si>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</si>
  <si>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</si>
  <si>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</si>
  <si>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</si>
  <si>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</si>
  <si>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</si>
  <si>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</si>
  <si>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</si>
  <si>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</si>
  <si>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</si>
  <si>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</si>
  <si>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</si>
  <si>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</si>
  <si>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</si>
  <si>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</si>
  <si>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</si>
  <si>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</si>
  <si>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</si>
  <si>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</si>
  <si>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</si>
  <si>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</si>
  <si>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</si>
  <si>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</si>
  <si>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</si>
  <si>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</si>
  <si>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</si>
  <si>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</si>
  <si>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</si>
  <si>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</si>
  <si>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</si>
  <si>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</si>
  <si>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</si>
  <si>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</si>
  <si>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</si>
  <si>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</si>
  <si>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</si>
  <si>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</si>
  <si>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</si>
  <si>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</si>
  <si>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</si>
  <si>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</si>
  <si>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</si>
  <si>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</si>
  <si>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</si>
  <si>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</si>
  <si>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</si>
  <si>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</si>
  <si>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</si>
  <si>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</si>
  <si>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</si>
  <si>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</si>
  <si>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</si>
  <si>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</si>
  <si>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</si>
  <si>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</si>
  <si>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</si>
  <si>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</si>
  <si>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</si>
  <si>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</si>
  <si>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</si>
  <si>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</si>
  <si>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</si>
  <si>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</si>
  <si>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</si>
  <si>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</si>
  <si>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</si>
  <si>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</si>
  <si>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</si>
  <si>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</si>
  <si>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</si>
  <si>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</si>
  <si>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</si>
  <si>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</si>
  <si>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</si>
  <si>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</si>
  <si>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</si>
  <si>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</si>
  <si>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</si>
  <si>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</si>
  <si>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</si>
  <si>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</si>
  <si>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</si>
  <si>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</si>
  <si>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</si>
  <si>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</si>
  <si>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</si>
  <si>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</si>
  <si>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</si>
  <si>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</si>
  <si>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</si>
  <si>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</si>
  <si>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</si>
  <si>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</si>
  <si>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</si>
  <si>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</si>
  <si>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</si>
  <si>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</si>
  <si>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</si>
  <si>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</si>
  <si>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</si>
  <si>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</si>
  <si>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</si>
  <si>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</si>
  <si>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</si>
  <si>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</si>
  <si>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</si>
  <si>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</si>
  <si>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</si>
  <si>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</si>
  <si>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</si>
  <si>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</si>
  <si>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</si>
  <si>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</si>
  <si>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</si>
  <si>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</si>
  <si>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</si>
  <si>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</si>
  <si>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</si>
  <si>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</si>
  <si>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</si>
  <si>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</si>
  <si>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</si>
  <si>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</si>
  <si>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</si>
  <si>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</si>
  <si>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</si>
  <si>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</si>
  <si>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</si>
  <si>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</si>
  <si>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</si>
  <si>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</si>
  <si>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</si>
  <si>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</si>
  <si>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</si>
  <si>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</si>
  <si>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</si>
  <si>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</si>
  <si>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</si>
  <si>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</si>
  <si>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</si>
  <si>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</si>
  <si>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</si>
  <si>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</si>
  <si>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</si>
  <si>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</si>
  <si>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</si>
  <si>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</si>
  <si>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</si>
  <si>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</si>
  <si>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</si>
  <si>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</si>
  <si>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</si>
  <si>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</si>
  <si>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</si>
  <si>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</si>
  <si>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</si>
  <si>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</si>
  <si>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</si>
  <si>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</si>
  <si>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</si>
  <si>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</si>
  <si>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</si>
  <si>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</si>
  <si>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</si>
  <si>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</si>
  <si>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</si>
  <si>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</si>
  <si>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</si>
  <si>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</si>
  <si>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</si>
  <si>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</si>
  <si>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</si>
  <si>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</si>
  <si>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</si>
  <si>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</si>
  <si>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</si>
  <si>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</si>
  <si>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</si>
  <si>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</si>
  <si>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</si>
  <si>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</si>
  <si>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</si>
  <si>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</si>
  <si>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</si>
  <si>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</si>
  <si>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</si>
  <si>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</si>
  <si>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</si>
  <si>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</si>
  <si>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</si>
  <si>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</si>
  <si>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</si>
  <si>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</si>
  <si>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</si>
  <si>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</si>
  <si>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</si>
  <si>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</si>
  <si>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</si>
  <si>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</si>
  <si>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</si>
  <si>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</si>
  <si>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</si>
  <si>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</si>
  <si>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</si>
  <si>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</si>
  <si>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</si>
  <si>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</si>
  <si>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</si>
  <si>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</si>
  <si>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</si>
  <si>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</si>
  <si>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</si>
  <si>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</si>
  <si>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</si>
  <si>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</si>
  <si>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</si>
  <si>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</si>
  <si>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</si>
  <si>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</si>
  <si>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</si>
  <si>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</si>
  <si>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</si>
  <si>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</si>
  <si>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</si>
  <si>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</si>
  <si>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</si>
  <si>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</si>
  <si>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</si>
  <si>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</si>
  <si>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</si>
  <si>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</si>
  <si>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</si>
  <si>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</si>
  <si>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</si>
  <si>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</si>
  <si>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</si>
  <si>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</si>
  <si>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</si>
  <si>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</si>
  <si>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</si>
  <si>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</si>
  <si>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</si>
  <si>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</si>
  <si>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</si>
  <si>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</si>
  <si>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</si>
  <si>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</si>
  <si>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</si>
  <si>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</si>
  <si>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</si>
  <si>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</si>
  <si>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</si>
  <si>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</si>
  <si>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</si>
  <si>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</si>
  <si>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</si>
  <si>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</si>
  <si>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</si>
  <si>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</si>
  <si>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</si>
  <si>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</si>
  <si>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</si>
  <si>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</si>
  <si>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</si>
  <si>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</si>
  <si>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</si>
  <si>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</si>
  <si>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</si>
  <si>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</si>
  <si>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</si>
  <si>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</si>
  <si>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</si>
  <si>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</si>
  <si>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</si>
  <si>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</si>
  <si>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</si>
  <si>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</si>
  <si>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</si>
  <si>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</si>
  <si>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</si>
  <si>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</si>
  <si>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</si>
  <si>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</si>
  <si>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</si>
  <si>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</si>
  <si>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</si>
  <si>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</si>
  <si>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</si>
  <si>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</si>
  <si>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</si>
  <si>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</si>
  <si>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</si>
  <si>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</si>
  <si>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</si>
  <si>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</si>
  <si>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</si>
  <si>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</si>
  <si>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</si>
  <si>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</si>
  <si>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</si>
  <si>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</si>
  <si>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</si>
  <si>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</si>
  <si>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</si>
  <si>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</si>
  <si>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</si>
  <si>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</si>
  <si>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</si>
  <si>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</si>
  <si>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</si>
  <si>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</si>
  <si>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</si>
  <si>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</si>
  <si>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</si>
  <si>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</si>
  <si>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</si>
  <si>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</si>
  <si>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</si>
  <si>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</si>
  <si>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</si>
  <si>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</si>
  <si>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</si>
  <si>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</si>
  <si>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</si>
  <si>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</si>
  <si>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</si>
  <si>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</si>
  <si>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</si>
  <si>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</si>
  <si>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</si>
  <si>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</si>
  <si>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</si>
  <si>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</si>
  <si>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</si>
  <si>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</si>
  <si>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</si>
  <si>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</si>
  <si>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</si>
  <si>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</si>
  <si>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</si>
  <si>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</si>
  <si>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</si>
  <si>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</si>
  <si>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</si>
  <si>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</si>
  <si>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</si>
  <si>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</si>
  <si>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</si>
  <si>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</si>
  <si>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</si>
  <si>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</si>
  <si>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</si>
  <si>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</si>
  <si>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</si>
  <si>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</si>
  <si>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</si>
  <si>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</si>
  <si>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</si>
  <si>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</si>
  <si>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</si>
  <si>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</si>
  <si>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</si>
  <si>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</si>
  <si>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</si>
  <si>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</si>
  <si>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</si>
  <si>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</si>
  <si>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</si>
  <si>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</si>
  <si>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</si>
  <si>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</si>
  <si>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</si>
  <si>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</si>
  <si>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</si>
  <si>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</si>
  <si>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</si>
  <si>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</si>
  <si>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</si>
  <si>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</si>
  <si>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</si>
  <si>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</si>
  <si>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</si>
  <si>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</si>
  <si>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</si>
  <si>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</si>
  <si>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</si>
  <si>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</si>
  <si>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</si>
  <si>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</si>
  <si>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</si>
  <si>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</si>
  <si>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</si>
  <si>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</si>
  <si>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</si>
  <si>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</si>
  <si>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</si>
  <si>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</si>
  <si>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</si>
  <si>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</si>
  <si>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</si>
  <si>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</si>
  <si>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</si>
  <si>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</si>
  <si>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</si>
  <si>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</si>
  <si>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</si>
  <si>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</si>
  <si>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</si>
  <si>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</si>
  <si>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</si>
  <si>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</si>
  <si>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</si>
  <si>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</si>
  <si>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</si>
  <si>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</si>
  <si>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</si>
  <si>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</si>
  <si>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</si>
  <si>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</si>
  <si>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</si>
  <si>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</si>
  <si>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</si>
  <si>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</si>
  <si>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</si>
  <si>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</si>
  <si>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</si>
  <si>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</si>
  <si>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</si>
  <si>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</si>
  <si>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</si>
  <si>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</si>
  <si>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</si>
  <si>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</si>
  <si>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</si>
  <si>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</si>
  <si>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</si>
  <si>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</si>
  <si>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</si>
  <si>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</si>
  <si>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</si>
  <si>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</si>
  <si>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</si>
  <si>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</si>
  <si>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</si>
  <si>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</si>
  <si>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</si>
  <si>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</si>
  <si>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</si>
  <si>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</si>
  <si>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</si>
  <si>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</si>
  <si>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</si>
  <si>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</si>
  <si>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</si>
  <si>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</si>
  <si>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</si>
  <si>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</si>
  <si>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</si>
  <si>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</si>
  <si>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</si>
  <si>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</si>
  <si>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</si>
  <si>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</si>
  <si>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</si>
  <si>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</si>
  <si>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</si>
  <si>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</si>
  <si>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</si>
  <si>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</si>
  <si>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</si>
  <si>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</si>
  <si>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</si>
  <si>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</si>
  <si>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</si>
  <si>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</si>
  <si>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</si>
  <si>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</si>
  <si>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</si>
  <si>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</si>
  <si>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</si>
  <si>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</si>
  <si>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</si>
  <si>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</si>
  <si>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</si>
  <si>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</si>
  <si>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</si>
  <si>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</si>
  <si>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</si>
  <si>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</si>
  <si>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</si>
  <si>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</si>
  <si>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</si>
  <si>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</si>
  <si>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</si>
  <si>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</si>
  <si>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</si>
  <si>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</si>
  <si>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</si>
  <si>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</si>
  <si>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</si>
  <si>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</si>
  <si>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</si>
  <si>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</si>
  <si>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</si>
  <si>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</si>
  <si>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</si>
  <si>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</si>
  <si>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</si>
  <si>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</si>
  <si>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</si>
  <si>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</si>
  <si>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</si>
  <si>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</si>
  <si>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</si>
  <si>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</si>
  <si>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</si>
  <si>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</si>
  <si>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</si>
  <si>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</si>
  <si>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</si>
  <si>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</si>
  <si>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</si>
  <si>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</si>
  <si>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</si>
  <si>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</si>
  <si>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</si>
  <si>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</si>
  <si>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</si>
  <si>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</si>
  <si>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</si>
  <si>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</si>
  <si>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</si>
  <si>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</si>
  <si>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</si>
  <si>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</si>
  <si>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</si>
  <si>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</si>
  <si>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</si>
  <si>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</si>
  <si>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</si>
  <si>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</si>
  <si>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</si>
  <si>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</si>
  <si>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</si>
  <si>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</si>
  <si>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</si>
  <si>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</si>
  <si>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</si>
  <si>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</si>
  <si>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</si>
  <si>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</si>
  <si>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</si>
  <si>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</si>
  <si>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</si>
  <si>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</si>
  <si>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</si>
  <si>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</si>
  <si>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</si>
  <si>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</si>
  <si>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</si>
  <si>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</si>
  <si>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</si>
  <si>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</si>
  <si>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</si>
  <si>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</si>
  <si>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</si>
  <si>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</si>
  <si>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</si>
  <si>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</si>
  <si>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</si>
  <si>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</si>
  <si>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</si>
  <si>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</si>
  <si>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</si>
  <si>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</si>
  <si>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</si>
  <si>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</si>
  <si>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</si>
  <si>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</si>
  <si>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</si>
  <si>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</si>
  <si>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</si>
  <si>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</si>
  <si>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</si>
  <si>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</si>
  <si>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</si>
  <si>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</si>
  <si>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</si>
  <si>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</si>
  <si>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</si>
  <si>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</si>
  <si>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</si>
  <si>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</si>
  <si>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</si>
  <si>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</si>
  <si>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</si>
  <si>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</si>
  <si>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</si>
  <si>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</si>
  <si>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</si>
  <si>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</si>
  <si>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</si>
  <si>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</si>
  <si>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</si>
  <si>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</si>
  <si>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</si>
  <si>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</si>
  <si>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</si>
  <si>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</si>
  <si>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</si>
  <si>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</si>
  <si>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</si>
  <si>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</si>
  <si>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</si>
  <si>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</si>
  <si>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</si>
  <si>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</si>
  <si>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</si>
  <si>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</si>
  <si>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</si>
  <si>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</si>
  <si>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</si>
  <si>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</si>
  <si>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</si>
  <si>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</si>
  <si>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</si>
  <si>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</si>
  <si>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</si>
  <si>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</si>
  <si>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</si>
  <si>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</si>
  <si>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</si>
  <si>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</si>
  <si>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</si>
  <si>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</si>
  <si>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</si>
  <si>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</si>
  <si>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</si>
  <si>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</si>
  <si>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</si>
  <si>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</si>
  <si>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</si>
  <si>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</si>
  <si>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</si>
  <si>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</si>
  <si>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</si>
  <si>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</si>
  <si>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</si>
  <si>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</si>
  <si>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</si>
  <si>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</si>
  <si>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</si>
  <si>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</si>
  <si>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</si>
  <si>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</si>
  <si>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</si>
  <si>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</si>
  <si>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</si>
  <si>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</si>
  <si>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</si>
  <si>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</si>
  <si>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</si>
  <si>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</si>
  <si>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</si>
  <si>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</si>
  <si>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</si>
  <si>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</si>
  <si>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</si>
  <si>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</si>
  <si>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</si>
  <si>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</si>
  <si>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</si>
  <si>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</si>
  <si>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</si>
  <si>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</si>
  <si>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</si>
  <si>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</si>
  <si>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</si>
  <si>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</si>
  <si>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</si>
  <si>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</si>
  <si>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</si>
  <si>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</si>
  <si>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</si>
  <si>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</si>
  <si>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</si>
  <si>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</si>
  <si>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</si>
  <si>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</si>
  <si>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</si>
  <si>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</si>
  <si>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</si>
  <si>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</si>
  <si>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</si>
  <si>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</si>
  <si>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</si>
  <si>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</si>
  <si>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</si>
  <si>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</si>
  <si>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</si>
  <si>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</si>
  <si>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</si>
  <si>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</si>
  <si>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</si>
  <si>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</si>
  <si>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</si>
  <si>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</si>
  <si>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</si>
  <si>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</si>
  <si>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</si>
  <si>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</si>
  <si>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</si>
  <si>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</si>
  <si>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</si>
  <si>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</si>
  <si>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</si>
  <si>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</si>
  <si>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</si>
  <si>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</si>
  <si>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</si>
  <si>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</si>
  <si>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</si>
  <si>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</si>
  <si>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</si>
  <si>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</si>
  <si>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</si>
  <si>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</si>
  <si>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</si>
  <si>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</si>
  <si>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</si>
  <si>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</si>
  <si>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</si>
  <si>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</si>
  <si>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</si>
  <si>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</si>
  <si>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</si>
  <si>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</si>
  <si>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</si>
  <si>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</si>
  <si>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</si>
  <si>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</si>
  <si>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</si>
  <si>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</si>
  <si>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</si>
  <si>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</si>
  <si>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</si>
  <si>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</si>
  <si>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</si>
  <si>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</si>
  <si>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</si>
  <si>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</si>
  <si>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</si>
  <si>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</si>
  <si>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</si>
  <si>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</si>
  <si>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</si>
  <si>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</si>
  <si>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</si>
  <si>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</si>
  <si>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</si>
  <si>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</si>
  <si>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</si>
  <si>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</si>
  <si>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</si>
  <si>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</si>
  <si>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</si>
  <si>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</si>
  <si>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</si>
  <si>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</si>
  <si>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</si>
  <si>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</si>
  <si>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</si>
  <si>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</si>
  <si>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</si>
  <si>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</si>
  <si>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</si>
  <si>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</si>
  <si>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</si>
  <si>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</si>
  <si>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</si>
  <si>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</si>
  <si>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</si>
  <si>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</si>
  <si>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</si>
  <si>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</si>
  <si>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</si>
  <si>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</si>
  <si>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</si>
  <si>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</si>
  <si>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</si>
  <si>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</si>
  <si>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</si>
  <si>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</si>
  <si>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</si>
  <si>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</si>
  <si>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</si>
  <si>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</si>
  <si>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</si>
  <si>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</si>
  <si>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</si>
  <si>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</si>
  <si>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</si>
  <si>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</si>
  <si>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</si>
  <si>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</si>
  <si>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</si>
  <si>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</si>
  <si>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</si>
  <si>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</si>
  <si>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</si>
  <si>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</si>
  <si>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</si>
  <si>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</si>
  <si>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</si>
  <si>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</si>
  <si>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</si>
  <si>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</si>
  <si>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</si>
  <si>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</si>
  <si>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</si>
  <si>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</si>
  <si>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</si>
  <si>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</si>
  <si>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</si>
  <si>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</si>
  <si>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</si>
  <si>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</si>
  <si>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</si>
  <si>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</si>
  <si>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</si>
  <si>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</si>
  <si>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</si>
  <si>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</si>
  <si>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</si>
  <si>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</si>
  <si>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</si>
  <si>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</si>
  <si>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</si>
  <si>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</si>
  <si>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</si>
  <si>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</si>
  <si>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</si>
  <si>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</si>
  <si>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</si>
  <si>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</si>
  <si>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</si>
  <si>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</si>
  <si>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</si>
  <si>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</si>
  <si>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</si>
  <si>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</si>
  <si>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</si>
  <si>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</si>
  <si>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</si>
  <si>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</si>
  <si>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</si>
  <si>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</si>
  <si>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</si>
  <si>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</si>
  <si>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</si>
  <si>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</si>
  <si>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</si>
  <si>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</si>
  <si>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</si>
  <si>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</si>
  <si>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</si>
  <si>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</si>
  <si>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</si>
  <si>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</si>
  <si>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</si>
  <si>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</si>
  <si>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</si>
  <si>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</si>
  <si>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</si>
  <si>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</si>
  <si>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</si>
  <si>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</si>
  <si>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</si>
  <si>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</si>
  <si>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</si>
  <si>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</si>
  <si>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</si>
  <si>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</si>
  <si>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</si>
  <si>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</si>
  <si>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</si>
  <si>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</si>
  <si>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</si>
  <si>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</si>
  <si>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</si>
  <si>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</si>
  <si>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</si>
  <si>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</si>
  <si>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</si>
  <si>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</si>
  <si>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</si>
  <si>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</si>
  <si>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</si>
  <si>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</si>
  <si>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</si>
  <si>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</si>
  <si>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</si>
  <si>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</si>
  <si>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</si>
  <si>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</si>
  <si>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</si>
  <si>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</si>
  <si>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</si>
  <si>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</si>
  <si>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</si>
  <si>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</si>
  <si>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</si>
  <si>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</si>
  <si>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</si>
  <si>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</si>
  <si>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</si>
  <si>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</si>
  <si>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</si>
  <si>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</si>
  <si>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</si>
  <si>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</si>
  <si>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</si>
  <si>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</si>
  <si>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</si>
  <si>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</si>
  <si>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</si>
  <si>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</si>
  <si>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</si>
  <si>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</si>
  <si>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</si>
  <si>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</si>
  <si>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</si>
  <si>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</si>
  <si>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</si>
  <si>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</si>
  <si>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</si>
  <si>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</si>
  <si>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</si>
  <si>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</si>
  <si>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</si>
  <si>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</si>
  <si>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</si>
  <si>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</si>
  <si>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</si>
  <si>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</si>
  <si>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</si>
  <si>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</si>
  <si>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</si>
  <si>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</si>
  <si>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</si>
  <si>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</si>
  <si>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</si>
  <si>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</si>
  <si>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</si>
  <si>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</si>
  <si>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</si>
  <si>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</si>
  <si>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</si>
  <si>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</si>
  <si>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</si>
  <si>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</si>
  <si>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</si>
  <si>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</si>
  <si>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</si>
  <si>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</si>
  <si>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</si>
  <si>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</si>
  <si>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</si>
  <si>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</si>
  <si>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</si>
  <si>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</si>
  <si>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</si>
  <si>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</si>
  <si>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</si>
  <si>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</si>
  <si>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</si>
  <si>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</si>
  <si>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</si>
  <si>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</si>
  <si>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</si>
  <si>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</si>
  <si>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</si>
  <si>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</si>
  <si>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</si>
  <si>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</si>
  <si>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</si>
  <si>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</si>
  <si>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</si>
  <si>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</si>
  <si>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</si>
  <si>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</si>
  <si>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</si>
  <si>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</si>
  <si>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</si>
  <si>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</si>
  <si>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</si>
  <si>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</si>
  <si>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</si>
  <si>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</si>
  <si>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</si>
  <si>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</si>
  <si>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</si>
  <si>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</si>
  <si>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</si>
  <si>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</si>
  <si>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</si>
  <si>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</si>
  <si>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</si>
  <si>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</si>
  <si>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</si>
  <si>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</si>
  <si>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</si>
  <si>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</si>
  <si>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</si>
  <si>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</si>
  <si>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</si>
  <si>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</si>
  <si>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</si>
  <si>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</si>
  <si>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</si>
  <si>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</si>
  <si>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</si>
  <si>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</si>
  <si>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</si>
  <si>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</si>
  <si>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</si>
  <si>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</si>
  <si>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</si>
  <si>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</si>
  <si>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</si>
  <si>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</si>
  <si>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</si>
  <si>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</si>
  <si>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</si>
  <si>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</si>
  <si>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</si>
  <si>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</si>
  <si>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</si>
  <si>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</si>
  <si>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</si>
  <si>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</si>
  <si>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</si>
  <si>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</si>
  <si>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</si>
  <si>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</si>
  <si>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</si>
  <si>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</si>
  <si>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</si>
  <si>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</si>
  <si>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</si>
  <si>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</si>
  <si>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</si>
  <si>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</si>
  <si>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</si>
  <si>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</si>
  <si>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</si>
  <si>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</si>
  <si>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</si>
  <si>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</si>
  <si>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</si>
  <si>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</si>
  <si>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</si>
  <si>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</si>
  <si>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</si>
  <si>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</si>
  <si>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</si>
  <si>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</si>
  <si>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</si>
  <si>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</si>
  <si>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</si>
  <si>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</si>
  <si>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</si>
  <si>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</si>
  <si>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</si>
  <si>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</si>
  <si>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</si>
  <si>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</si>
  <si>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</si>
  <si>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</si>
  <si>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</si>
  <si>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</si>
  <si>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</si>
  <si>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</si>
  <si>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</si>
  <si>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</si>
  <si>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</si>
  <si>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</si>
  <si>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</si>
  <si>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</si>
  <si>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</si>
  <si>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</si>
  <si>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</si>
  <si>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</si>
  <si>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</si>
  <si>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</si>
  <si>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</si>
  <si>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</si>
  <si>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</si>
  <si>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</si>
  <si>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</si>
  <si>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</si>
  <si>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</si>
  <si>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</si>
  <si>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</si>
  <si>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</si>
  <si>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</si>
  <si>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</si>
  <si>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</si>
  <si>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</si>
  <si>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</si>
  <si>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</si>
  <si>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</si>
  <si>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</si>
  <si>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</si>
  <si>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</si>
  <si>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</si>
  <si>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</si>
  <si>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</si>
  <si>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</si>
  <si>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</si>
  <si>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</si>
  <si>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</si>
  <si>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</si>
  <si>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</si>
  <si>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</si>
  <si>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</si>
  <si>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</si>
  <si>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</si>
  <si>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</si>
  <si>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</si>
  <si>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</si>
  <si>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</si>
  <si>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</si>
  <si>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</si>
  <si>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</si>
  <si>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</si>
  <si>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</si>
  <si>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</si>
  <si>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</si>
  <si>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</si>
  <si>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</si>
  <si>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</si>
  <si>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</si>
  <si>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</si>
  <si>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</si>
  <si>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</si>
  <si>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</si>
  <si>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</si>
  <si>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</si>
  <si>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</si>
  <si>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</si>
  <si>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</si>
  <si>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</si>
  <si>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</si>
  <si>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</si>
  <si>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</si>
  <si>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</si>
  <si>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</si>
  <si>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</si>
  <si>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</si>
  <si>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</si>
  <si>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</si>
  <si>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</si>
  <si>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</si>
  <si>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</si>
  <si>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</si>
  <si>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</si>
  <si>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</si>
  <si>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</si>
  <si>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</si>
  <si>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</si>
  <si>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</si>
  <si>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</si>
  <si>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</si>
  <si>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</si>
  <si>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</si>
  <si>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</si>
  <si>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</si>
  <si>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</si>
  <si>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</si>
  <si>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</si>
  <si>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</si>
  <si>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</si>
  <si>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</si>
  <si>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</si>
  <si>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</si>
  <si>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</si>
  <si>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</si>
  <si>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</si>
  <si>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</si>
  <si>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</si>
  <si>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</si>
  <si>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</si>
  <si>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</si>
  <si>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</si>
  <si>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</si>
  <si>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</si>
  <si>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</si>
  <si>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</si>
  <si>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</si>
  <si>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</si>
  <si>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</si>
  <si>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</si>
  <si>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</si>
  <si>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</si>
  <si>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</si>
  <si>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</si>
  <si>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</si>
  <si>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</si>
  <si>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</si>
  <si>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</si>
  <si>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</si>
  <si>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</si>
  <si>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</si>
  <si>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</si>
  <si>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</si>
  <si>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</si>
  <si>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</si>
  <si>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</si>
  <si>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</si>
  <si>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</si>
  <si>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</si>
  <si>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</si>
  <si>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</si>
  <si>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</si>
  <si>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</si>
  <si>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</si>
  <si>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</si>
  <si>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</si>
  <si>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</si>
  <si>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</si>
  <si>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</si>
  <si>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</si>
  <si>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</si>
  <si>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</si>
  <si>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</si>
  <si>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</si>
  <si>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</si>
  <si>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</si>
  <si>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</si>
  <si>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</si>
  <si>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</si>
  <si>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</si>
  <si>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</si>
  <si>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</si>
  <si>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</si>
  <si>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</si>
  <si>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</si>
  <si>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</si>
  <si>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</si>
  <si>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</si>
  <si>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</si>
  <si>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</si>
  <si>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</si>
  <si>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</si>
  <si>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</si>
  <si>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</si>
  <si>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</si>
  <si>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</si>
  <si>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</si>
  <si>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</si>
  <si>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</si>
  <si>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</si>
  <si>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</si>
  <si>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</si>
  <si>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</si>
  <si>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</si>
  <si>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</si>
  <si>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</si>
  <si>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</si>
  <si>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</si>
  <si>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</si>
  <si>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</si>
  <si>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</si>
  <si>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</si>
  <si>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</si>
  <si>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</si>
  <si>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</si>
  <si>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</si>
  <si>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</si>
  <si>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</si>
  <si>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</si>
  <si>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</si>
  <si>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</si>
  <si>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</si>
  <si>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</si>
  <si>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</si>
  <si>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</si>
  <si>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</si>
  <si>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</si>
  <si>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</si>
  <si>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</si>
  <si>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</si>
  <si>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</si>
  <si>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</si>
  <si>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</si>
  <si>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</si>
  <si>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</si>
  <si>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</si>
  <si>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</si>
  <si>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</si>
  <si>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</si>
  <si>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</si>
  <si>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</si>
  <si>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</si>
  <si>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</si>
  <si>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</si>
  <si>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</si>
  <si>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</si>
  <si>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</si>
  <si>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</si>
  <si>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</si>
  <si>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</si>
  <si>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</si>
  <si>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</si>
  <si>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</si>
  <si>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</si>
  <si>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</si>
  <si>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</si>
  <si>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</si>
  <si>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</si>
  <si>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</si>
  <si>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</si>
  <si>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</si>
  <si>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</si>
  <si>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</si>
  <si>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</si>
  <si>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</si>
  <si>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</si>
  <si>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</si>
  <si>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</si>
  <si>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</si>
  <si>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</si>
  <si>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</si>
  <si>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</si>
  <si>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</si>
  <si>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</si>
  <si>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</si>
  <si>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</si>
  <si>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</si>
  <si>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</si>
  <si>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</si>
  <si>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</si>
  <si>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</si>
  <si>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</si>
  <si>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</si>
  <si>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</si>
  <si>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</si>
  <si>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</si>
  <si>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</si>
  <si>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</si>
  <si>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</si>
  <si>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</si>
  <si>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</si>
  <si>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</si>
  <si>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</si>
  <si>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</si>
  <si>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</si>
  <si>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</si>
  <si>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</si>
  <si>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</si>
  <si>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</si>
  <si>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</si>
  <si>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</si>
  <si>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</si>
  <si>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</si>
  <si>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</si>
  <si>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</si>
  <si>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</si>
  <si>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</si>
  <si>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</si>
  <si>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</si>
  <si>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</si>
  <si>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</si>
  <si>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</si>
  <si>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</si>
  <si>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</si>
  <si>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</si>
  <si>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</si>
  <si>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</si>
  <si>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</si>
  <si>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</si>
  <si>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</si>
  <si>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</si>
  <si>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</si>
  <si>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</si>
  <si>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</si>
  <si>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</si>
  <si>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</si>
  <si>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</si>
  <si>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</si>
  <si>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</si>
  <si>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</si>
  <si>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</si>
  <si>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</si>
  <si>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</si>
  <si>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</si>
  <si>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</si>
  <si>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</si>
  <si>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</si>
  <si>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</si>
  <si>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</si>
  <si>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</si>
  <si>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</si>
  <si>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</si>
  <si>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</si>
  <si>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</si>
  <si>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</si>
  <si>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</si>
  <si>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</si>
  <si>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</si>
  <si>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</si>
  <si>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</si>
  <si>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</si>
  <si>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</si>
  <si>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</si>
  <si>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</si>
  <si>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</si>
  <si>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</si>
  <si>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</si>
  <si>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</si>
  <si>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</si>
  <si>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</si>
  <si>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</si>
  <si>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</si>
  <si>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</si>
  <si>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</si>
  <si>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</si>
  <si>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</si>
  <si>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</si>
  <si>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</si>
  <si>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</si>
  <si>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</si>
  <si>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</si>
  <si>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</si>
  <si>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</si>
  <si>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</si>
  <si>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</si>
  <si>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</si>
  <si>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</si>
  <si>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</si>
  <si>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</si>
  <si>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</si>
  <si>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</si>
  <si>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</si>
  <si>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</si>
  <si>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</si>
  <si>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</si>
  <si>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</si>
  <si>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</si>
  <si>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</si>
  <si>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</si>
  <si>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</si>
  <si>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</si>
  <si>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</si>
  <si>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</si>
  <si>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</si>
  <si>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</si>
  <si>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</si>
  <si>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</si>
  <si>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</si>
  <si>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</si>
  <si>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</si>
  <si>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</si>
  <si>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</si>
  <si>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</si>
  <si>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</si>
  <si>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</si>
  <si>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</si>
  <si>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</si>
  <si>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</si>
  <si>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</si>
  <si>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</si>
  <si>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</si>
  <si>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</si>
  <si>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</si>
  <si>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</si>
  <si>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</si>
  <si>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</si>
  <si>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</si>
  <si>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</si>
  <si>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</si>
  <si>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</si>
  <si>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</si>
  <si>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</si>
  <si>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</si>
  <si>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</si>
  <si>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</si>
  <si>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</si>
  <si>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</si>
  <si>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</si>
  <si>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</si>
  <si>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</si>
  <si>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</si>
  <si>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</si>
  <si>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</si>
  <si>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</si>
  <si>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</si>
  <si>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</si>
  <si>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</si>
  <si>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</si>
  <si>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</si>
  <si>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</si>
  <si>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</si>
  <si>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</si>
  <si>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</si>
  <si>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</si>
  <si>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</si>
  <si>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</si>
  <si>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</si>
  <si>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</si>
  <si>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</si>
  <si>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</si>
  <si>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</si>
  <si>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</si>
  <si>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</si>
  <si>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</si>
  <si>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</si>
  <si>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</si>
  <si>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</si>
  <si>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</si>
  <si>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</si>
  <si>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</si>
  <si>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</si>
  <si>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</si>
  <si>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</si>
  <si>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</si>
  <si>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</si>
  <si>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</si>
  <si>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</si>
  <si>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</si>
  <si>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</si>
  <si>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</si>
  <si>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</si>
  <si>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</si>
  <si>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</si>
  <si>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</si>
  <si>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</si>
  <si>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</si>
  <si>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</si>
  <si>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</si>
  <si>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</si>
  <si>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</si>
  <si>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</si>
  <si>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</si>
  <si>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</si>
  <si>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</si>
  <si>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</si>
  <si>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</si>
  <si>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</si>
  <si>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</si>
  <si>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</si>
  <si>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</si>
  <si>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</si>
  <si>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</si>
  <si>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</si>
  <si>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</si>
  <si>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</si>
  <si>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</si>
  <si>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</si>
  <si>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</si>
  <si>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</si>
  <si>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</si>
  <si>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</si>
  <si>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</si>
  <si>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</si>
  <si>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</si>
  <si>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</si>
  <si>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</si>
  <si>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</si>
  <si>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</si>
  <si>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</si>
  <si>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</si>
  <si>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</si>
  <si>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</si>
  <si>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</si>
  <si>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</si>
  <si>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</si>
  <si>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</si>
  <si>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</si>
  <si>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</si>
  <si>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</si>
  <si>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</si>
  <si>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</si>
  <si>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</si>
  <si>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</si>
  <si>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</si>
  <si>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</si>
  <si>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</si>
  <si>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</si>
  <si>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</si>
  <si>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</si>
  <si>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</si>
  <si>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</si>
  <si>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</si>
  <si>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</si>
  <si>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</si>
  <si>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</si>
  <si>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</si>
  <si>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</si>
  <si>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</si>
  <si>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</si>
  <si>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</si>
  <si>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</si>
  <si>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</si>
  <si>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</si>
  <si>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</si>
  <si>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</si>
  <si>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</si>
  <si>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</si>
  <si>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</si>
  <si>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</si>
  <si>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</si>
  <si>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</si>
  <si>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</si>
  <si>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</si>
  <si>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</si>
  <si>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</si>
  <si>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</si>
  <si>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</si>
  <si>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</si>
  <si>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</si>
  <si>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</si>
  <si>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</si>
  <si>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</si>
  <si>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</si>
  <si>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</si>
  <si>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</si>
  <si>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</si>
  <si>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</si>
  <si>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</si>
  <si>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</si>
  <si>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</si>
  <si>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</si>
  <si>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</si>
  <si>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</si>
  <si>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</si>
  <si>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</si>
  <si>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</si>
  <si>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</si>
  <si>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</si>
  <si>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</si>
  <si>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</si>
  <si>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</si>
  <si>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</si>
  <si>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</si>
  <si>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</si>
  <si>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</si>
  <si>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</si>
  <si>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</si>
  <si>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</si>
  <si>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</si>
  <si>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</si>
  <si>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</si>
  <si>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</si>
  <si>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</si>
  <si>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</si>
  <si>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</si>
  <si>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</si>
  <si>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</si>
  <si>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</si>
  <si>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</si>
  <si>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</si>
  <si>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</si>
  <si>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</si>
  <si>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</si>
  <si>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</si>
  <si>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</si>
  <si>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</si>
  <si>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</si>
  <si>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</si>
  <si>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</si>
  <si>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</si>
  <si>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</si>
  <si>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</si>
  <si>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</si>
  <si>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</si>
  <si>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</si>
  <si>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</si>
  <si>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</si>
  <si>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</si>
  <si>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</si>
  <si>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</si>
  <si>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</si>
  <si>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</si>
  <si>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</si>
  <si>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</si>
  <si>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</si>
  <si>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</si>
  <si>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</si>
  <si>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</si>
  <si>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</si>
  <si>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</si>
  <si>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</si>
  <si>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</si>
  <si>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</si>
  <si>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</si>
  <si>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</si>
  <si>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</si>
  <si>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</si>
  <si>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</si>
  <si>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</si>
  <si>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</si>
  <si>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</si>
  <si>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</si>
  <si>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</si>
  <si>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</si>
  <si>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</si>
  <si>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</si>
  <si>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</si>
  <si>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</si>
  <si>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</si>
  <si>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</si>
  <si>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</si>
  <si>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</si>
  <si>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</si>
  <si>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</si>
  <si>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</si>
  <si>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</si>
  <si>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</si>
  <si>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</si>
  <si>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</si>
  <si>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</si>
  <si>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</si>
  <si>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</si>
  <si>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</si>
  <si>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</si>
  <si>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</si>
  <si>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</si>
  <si>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</si>
  <si>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</si>
  <si>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</si>
  <si>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</si>
  <si>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</si>
  <si>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</si>
  <si>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</si>
  <si>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</si>
  <si>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</si>
  <si>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</si>
  <si>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</si>
  <si>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</si>
  <si>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</si>
  <si>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</si>
  <si>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</si>
  <si>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</si>
  <si>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</si>
  <si>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</si>
  <si>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</si>
  <si>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</si>
  <si>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</si>
  <si>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</si>
  <si>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</si>
  <si>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</si>
  <si>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</si>
  <si>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</si>
  <si>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</si>
  <si>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</si>
  <si>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</si>
  <si>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</si>
  <si>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</si>
  <si>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</si>
  <si>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</si>
  <si>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</si>
  <si>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</si>
  <si>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</si>
  <si>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</si>
  <si>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</si>
  <si>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</si>
  <si>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</si>
  <si>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</si>
  <si>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</si>
  <si>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</si>
  <si>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</si>
  <si>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</si>
  <si>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</si>
  <si>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</si>
  <si>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</si>
  <si>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</si>
  <si>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</si>
  <si>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</si>
  <si>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</si>
  <si>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</si>
  <si>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</si>
  <si>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</si>
  <si>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</si>
  <si>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</si>
  <si>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</si>
  <si>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</si>
  <si>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</si>
  <si>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</si>
  <si>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</si>
  <si>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</si>
  <si>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</si>
  <si>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</si>
  <si>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</si>
  <si>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</si>
  <si>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</si>
  <si>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</si>
  <si>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</si>
  <si>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</si>
  <si>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</si>
  <si>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</si>
  <si>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</si>
  <si>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</si>
  <si>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</si>
  <si>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</si>
  <si>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</si>
  <si>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</si>
  <si>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</si>
  <si>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</si>
  <si>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</si>
  <si>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</si>
  <si>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</si>
  <si>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</si>
  <si>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</si>
  <si>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</si>
  <si>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</si>
  <si>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</si>
  <si>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</si>
  <si>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</si>
  <si>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</si>
  <si>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</si>
  <si>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</si>
  <si>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</si>
  <si>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</si>
  <si>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</si>
  <si>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</si>
  <si>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</si>
  <si>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</si>
  <si>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</si>
  <si>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</si>
  <si>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</si>
  <si>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</si>
  <si>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</si>
  <si>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</si>
  <si>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</si>
  <si>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</si>
  <si>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</si>
  <si>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</si>
  <si>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</si>
  <si>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</si>
  <si>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</si>
  <si>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</si>
  <si>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</si>
  <si>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</si>
  <si>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</si>
  <si>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</si>
  <si>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</si>
  <si>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</si>
  <si>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</si>
  <si>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</si>
  <si>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</si>
  <si>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</si>
  <si>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</si>
  <si>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</si>
  <si>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</si>
  <si>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</si>
  <si>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</si>
  <si>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</si>
  <si>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</si>
  <si>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</si>
  <si>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</si>
  <si>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</si>
  <si>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</si>
  <si>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</si>
  <si>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</si>
  <si>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</si>
  <si>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</si>
  <si>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</si>
  <si>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</si>
  <si>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</si>
  <si>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</si>
  <si>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</si>
  <si>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</si>
  <si>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</si>
  <si>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</si>
  <si>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</si>
  <si>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</si>
  <si>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</si>
  <si>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</si>
  <si>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</si>
  <si>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</si>
  <si>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</si>
  <si>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</si>
  <si>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</si>
  <si>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</si>
  <si>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</si>
  <si>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</si>
  <si>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</si>
  <si>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</si>
  <si>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</si>
  <si>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</si>
  <si>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</si>
  <si>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</si>
  <si>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</si>
  <si>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</si>
  <si>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</si>
  <si>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</si>
  <si>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</si>
  <si>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</si>
  <si>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</si>
  <si>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</si>
  <si>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</si>
  <si>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</si>
  <si>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</si>
  <si>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</si>
  <si>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</si>
  <si>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</si>
  <si>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</si>
  <si>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</si>
  <si>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</si>
  <si>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</si>
  <si>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</si>
  <si>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</si>
  <si>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</si>
  <si>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</si>
  <si>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</si>
  <si>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</si>
  <si>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</si>
  <si>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</si>
  <si>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</si>
  <si>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</si>
  <si>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</si>
  <si>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</si>
  <si>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</si>
  <si>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</si>
  <si>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</si>
  <si>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</si>
  <si>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</si>
  <si>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</si>
  <si>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</si>
  <si>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</si>
  <si>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</si>
  <si>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</si>
  <si>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</si>
  <si>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</si>
  <si>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</si>
  <si>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</si>
  <si>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</si>
  <si>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</si>
  <si>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</si>
  <si>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</si>
  <si>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</si>
  <si>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</si>
  <si>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</si>
  <si>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</si>
  <si>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</si>
  <si>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</si>
  <si>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</si>
  <si>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</si>
  <si>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</si>
  <si>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</si>
  <si>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</si>
  <si>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</si>
  <si>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</si>
  <si>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</si>
  <si>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</si>
  <si>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</si>
  <si>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</si>
  <si>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</si>
  <si>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</si>
  <si>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</si>
  <si>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</si>
  <si>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</si>
  <si>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</si>
  <si>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</si>
  <si>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</si>
  <si>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</si>
  <si>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</si>
  <si>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</si>
  <si>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</si>
  <si>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</si>
  <si>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</si>
  <si>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</si>
  <si>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</si>
  <si>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</si>
  <si>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</si>
  <si>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</si>
  <si>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</si>
  <si>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</si>
  <si>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</si>
  <si>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</si>
  <si>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</si>
  <si>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</si>
  <si>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</si>
  <si>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</si>
  <si>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</si>
  <si>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</si>
  <si>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</si>
  <si>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</si>
  <si>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</si>
  <si>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</si>
  <si>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</si>
  <si>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</si>
  <si>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</si>
  <si>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</si>
  <si>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</si>
  <si>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</si>
  <si>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</si>
  <si>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</si>
  <si>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</si>
  <si>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</si>
  <si>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</si>
  <si>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</si>
  <si>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</si>
  <si>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</si>
  <si>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</si>
  <si>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</si>
  <si>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</si>
  <si>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</si>
  <si>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</si>
  <si>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</si>
  <si>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</si>
  <si>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</si>
  <si>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</si>
  <si>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</si>
  <si>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</si>
  <si>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</si>
  <si>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</si>
  <si>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</si>
  <si>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</si>
  <si>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</si>
  <si>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</si>
  <si>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</si>
  <si>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</si>
  <si>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</si>
  <si>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</si>
  <si>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</si>
  <si>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</si>
  <si>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</si>
  <si>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</si>
  <si>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</si>
  <si>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</si>
  <si>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</si>
  <si>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</si>
  <si>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</si>
  <si>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</si>
  <si>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</si>
  <si>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</si>
  <si>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</si>
  <si>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</si>
  <si>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</si>
  <si>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</si>
  <si>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</si>
  <si>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</si>
  <si>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</si>
  <si>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</si>
  <si>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</si>
  <si>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</si>
  <si>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</si>
  <si>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</si>
  <si>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</si>
  <si>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</si>
  <si>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</si>
  <si>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</si>
  <si>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</si>
  <si>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</si>
  <si>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</si>
  <si>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</si>
  <si>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</si>
  <si>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</si>
  <si>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</si>
  <si>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</si>
  <si>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</si>
  <si>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</si>
  <si>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</si>
  <si>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</si>
  <si>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</si>
  <si>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</si>
  <si>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</si>
  <si>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</si>
  <si>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</si>
  <si>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</si>
  <si>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</si>
  <si>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</si>
  <si>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</si>
  <si>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</si>
  <si>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</si>
  <si>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</si>
  <si>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</si>
  <si>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</si>
  <si>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</si>
  <si>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</si>
  <si>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</si>
  <si>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</si>
  <si>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</si>
  <si>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</si>
  <si>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</si>
  <si>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</si>
  <si>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</si>
  <si>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</si>
  <si>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</si>
  <si>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</si>
  <si>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</si>
  <si>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</si>
  <si>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</si>
  <si>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</si>
  <si>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</si>
  <si>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</si>
  <si>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</si>
  <si>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</si>
  <si>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</si>
  <si>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</si>
  <si>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</si>
  <si>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</si>
  <si>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</si>
  <si>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</si>
  <si>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</si>
  <si>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</si>
  <si>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</si>
  <si>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</si>
  <si>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</si>
  <si>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</si>
  <si>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</si>
  <si>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</si>
  <si>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</si>
  <si>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</si>
  <si>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</si>
  <si>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</si>
  <si>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</si>
  <si>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</si>
  <si>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</si>
  <si>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</si>
  <si>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</si>
  <si>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</si>
  <si>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</si>
  <si>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</si>
  <si>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</si>
  <si>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</si>
  <si>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</si>
  <si>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</si>
  <si>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</si>
  <si>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</si>
  <si>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</si>
  <si>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</si>
  <si>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</si>
  <si>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</si>
  <si>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</si>
  <si>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</si>
  <si>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</si>
  <si>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</si>
  <si>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</si>
  <si>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</si>
  <si>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</si>
  <si>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</si>
  <si>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</si>
  <si>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</si>
  <si>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</si>
  <si>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</si>
  <si>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</si>
  <si>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</si>
  <si>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</si>
  <si>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</si>
  <si>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</si>
  <si>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</si>
  <si>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</si>
  <si>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</si>
  <si>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</si>
  <si>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</si>
  <si>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</si>
  <si>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</si>
  <si>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</si>
  <si>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</si>
  <si>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</si>
  <si>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</si>
  <si>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</si>
  <si>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</si>
  <si>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</si>
  <si>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</si>
  <si>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</si>
  <si>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</si>
  <si>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</si>
  <si>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</si>
  <si>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</si>
  <si>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</si>
  <si>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</si>
  <si>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</si>
  <si>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</si>
  <si>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</si>
  <si>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</si>
  <si>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</si>
  <si>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</si>
  <si>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</si>
  <si>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</si>
  <si>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</si>
  <si>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</si>
  <si>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</si>
  <si>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</si>
  <si>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</si>
  <si>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</si>
  <si>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</si>
  <si>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</si>
  <si>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</si>
  <si>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</si>
  <si>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</si>
  <si>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</si>
  <si>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</si>
  <si>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</si>
  <si>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</si>
  <si>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</si>
  <si>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</si>
  <si>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</si>
  <si>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</si>
  <si>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</si>
  <si>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</si>
  <si>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</si>
  <si>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</si>
  <si>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</si>
  <si>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</si>
  <si>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</si>
  <si>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</si>
  <si>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</si>
  <si>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</si>
  <si>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</si>
  <si>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</si>
  <si>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</si>
  <si>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</si>
  <si>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</si>
  <si>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</si>
  <si>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</si>
  <si>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</si>
  <si>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</si>
  <si>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</si>
  <si>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</si>
  <si>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</si>
  <si>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</si>
  <si>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</si>
  <si>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</si>
  <si>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</si>
  <si>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</si>
  <si>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</si>
  <si>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</si>
  <si>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</si>
  <si>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</si>
  <si>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</si>
  <si>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</si>
  <si>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</si>
  <si>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</si>
  <si>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</si>
  <si>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</si>
  <si>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</si>
  <si>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</si>
  <si>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</si>
  <si>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</si>
  <si>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</si>
  <si>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</si>
  <si>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</si>
  <si>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</si>
  <si>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</si>
  <si>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</si>
  <si>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</si>
  <si>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</si>
  <si>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</si>
  <si>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</si>
  <si>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</si>
  <si>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</si>
  <si>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</si>
  <si>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</si>
  <si>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</si>
  <si>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</si>
  <si>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</si>
  <si>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</si>
  <si>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</si>
  <si>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</si>
  <si>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</si>
  <si>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</si>
  <si>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</si>
  <si>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</si>
  <si>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</si>
  <si>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</si>
  <si>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</si>
  <si>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</si>
  <si>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</si>
  <si>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</si>
  <si>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</si>
  <si>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</si>
  <si>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</si>
  <si>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</si>
  <si>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</si>
  <si>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</si>
  <si>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</si>
  <si>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</si>
  <si>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</si>
  <si>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</si>
  <si>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</si>
  <si>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</si>
  <si>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</si>
  <si>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</si>
  <si>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</si>
  <si>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</si>
  <si>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</si>
  <si>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</si>
  <si>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</si>
  <si>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</si>
  <si>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</si>
  <si>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</si>
  <si>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</si>
  <si>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</si>
  <si>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</si>
  <si>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</si>
  <si>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</si>
  <si>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</si>
  <si>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</si>
  <si>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</si>
  <si>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</si>
  <si>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</si>
  <si>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</si>
  <si>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</si>
  <si>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</si>
  <si>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</si>
  <si>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</si>
  <si>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</si>
  <si>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</si>
  <si>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</si>
  <si>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</si>
  <si>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</si>
  <si>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</si>
  <si>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</si>
  <si>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</si>
  <si>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</si>
  <si>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</si>
  <si>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</si>
  <si>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</si>
  <si>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</si>
  <si>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</si>
  <si>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</si>
  <si>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</si>
  <si>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</si>
  <si>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</si>
  <si>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</si>
  <si>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</si>
  <si>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</si>
  <si>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</si>
  <si>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</si>
  <si>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</si>
  <si>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</si>
  <si>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</si>
  <si>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</si>
  <si>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</si>
  <si>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</si>
  <si>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</si>
  <si>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</si>
  <si>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</si>
  <si>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</si>
  <si>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</si>
  <si>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</si>
  <si>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</si>
  <si>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</si>
  <si>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</si>
  <si>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</si>
  <si>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</si>
  <si>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</si>
  <si>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</si>
  <si>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</si>
  <si>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</si>
  <si>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</si>
  <si>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</si>
  <si>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</si>
  <si>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</si>
  <si>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</si>
  <si>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</si>
  <si>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</si>
  <si>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</si>
  <si>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</si>
  <si>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</si>
  <si>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</si>
  <si>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</si>
  <si>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</si>
  <si>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</si>
  <si>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</si>
  <si>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</si>
  <si>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</si>
  <si>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</si>
  <si>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</si>
  <si>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</si>
  <si>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</si>
  <si>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</si>
  <si>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</si>
  <si>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</si>
  <si>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</si>
  <si>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</si>
  <si>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</si>
  <si>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</si>
  <si>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</si>
  <si>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</si>
  <si>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</si>
  <si>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</si>
  <si>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</si>
  <si>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</si>
  <si>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</si>
  <si>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</si>
  <si>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</si>
  <si>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</si>
  <si>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</si>
  <si>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</si>
  <si>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</si>
  <si>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</si>
  <si>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</si>
  <si>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</si>
  <si>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</si>
  <si>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</si>
  <si>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</si>
  <si>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</si>
  <si>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</si>
  <si>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</si>
  <si>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</si>
  <si>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</si>
  <si>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</si>
  <si>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</si>
  <si>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</si>
  <si>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</si>
  <si>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</si>
  <si>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</si>
  <si>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</si>
  <si>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</si>
  <si>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</si>
  <si>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</si>
  <si>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</si>
  <si>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</si>
  <si>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</si>
  <si>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</si>
  <si>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</si>
  <si>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</si>
  <si>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</si>
  <si>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</si>
  <si>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</si>
  <si>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</si>
  <si>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</si>
  <si>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</si>
  <si>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</si>
  <si>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</si>
  <si>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</si>
  <si>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</si>
  <si>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</si>
  <si>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</si>
  <si>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</si>
  <si>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</si>
  <si>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</si>
  <si>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</si>
  <si>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</si>
  <si>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</si>
  <si>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</si>
  <si>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</si>
  <si>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</si>
  <si>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</si>
  <si>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</si>
  <si>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</si>
  <si>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</si>
  <si>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</si>
  <si>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</si>
  <si>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</si>
  <si>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</si>
  <si>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</si>
  <si>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</si>
  <si>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</si>
  <si>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</si>
  <si>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</si>
  <si>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</si>
  <si>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</si>
  <si>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</si>
  <si>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</si>
  <si>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</si>
  <si>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</si>
  <si>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</si>
  <si>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</si>
  <si>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</si>
  <si>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</si>
  <si>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</si>
  <si>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</si>
  <si>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</si>
  <si>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</si>
  <si>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</si>
  <si>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</si>
  <si>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</si>
  <si>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</si>
  <si>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</si>
  <si>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</si>
  <si>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</si>
  <si>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</si>
  <si>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</si>
  <si>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</si>
  <si>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</si>
  <si>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</si>
  <si>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</si>
  <si>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</si>
  <si>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</si>
  <si>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</si>
  <si>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</si>
  <si>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</si>
  <si>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</si>
  <si>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</si>
  <si>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</si>
  <si>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</si>
  <si>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</si>
  <si>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</si>
  <si>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</si>
  <si>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</si>
  <si>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</si>
  <si>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</si>
  <si>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</si>
  <si>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</si>
  <si>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</si>
  <si>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</si>
  <si>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</si>
  <si>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</si>
  <si>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</si>
  <si>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</si>
  <si>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</si>
  <si>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</si>
  <si>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</si>
  <si>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</si>
  <si>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</si>
  <si>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</si>
  <si>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</si>
  <si>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</si>
  <si>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</si>
  <si>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</si>
  <si>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</si>
  <si>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</si>
  <si>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</si>
  <si>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</si>
  <si>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</si>
  <si>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</si>
  <si>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</si>
  <si>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</si>
  <si>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</si>
  <si>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</si>
  <si>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</si>
  <si>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</si>
  <si>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</si>
  <si>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</si>
  <si>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</si>
  <si>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</si>
  <si>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</si>
  <si>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</si>
  <si>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</si>
  <si>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</si>
  <si>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</si>
  <si>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</si>
  <si>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</si>
  <si>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</si>
  <si>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</si>
  <si>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</si>
  <si>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</si>
  <si>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</si>
  <si>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</si>
  <si>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</si>
  <si>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</si>
  <si>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</si>
  <si>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</si>
  <si>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</si>
  <si>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</si>
  <si>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</si>
  <si>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</si>
  <si>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</si>
  <si>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</si>
  <si>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</si>
  <si>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</si>
  <si>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</si>
  <si>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</si>
  <si>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</si>
  <si>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</si>
  <si>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</si>
  <si>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</si>
  <si>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</si>
  <si>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</si>
  <si>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</si>
  <si>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</si>
  <si>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</si>
  <si>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</si>
  <si>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</si>
  <si>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</si>
  <si>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</si>
  <si>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</si>
  <si>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</si>
  <si>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</si>
  <si>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</si>
  <si>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</si>
  <si>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</si>
  <si>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</si>
  <si>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</si>
  <si>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</si>
  <si>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</si>
  <si>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</si>
  <si>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</si>
  <si>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</si>
  <si>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</si>
  <si>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</si>
  <si>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</si>
  <si>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</si>
  <si>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</si>
  <si>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</si>
  <si>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</si>
  <si>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</si>
  <si>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</si>
  <si>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</si>
  <si>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</si>
  <si>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</si>
  <si>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</si>
  <si>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</si>
  <si>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</si>
  <si>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</si>
  <si>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</si>
  <si>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</si>
  <si>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</si>
  <si>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</si>
  <si>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</si>
  <si>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</si>
  <si>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</si>
  <si>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</si>
  <si>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</si>
  <si>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</si>
  <si>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</si>
  <si>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</si>
  <si>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</si>
  <si>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</si>
  <si>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</si>
  <si>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</si>
  <si>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</si>
  <si>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</si>
  <si>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</si>
  <si>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</si>
  <si>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</si>
  <si>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</si>
  <si>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</si>
  <si>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</si>
  <si>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</si>
  <si>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</si>
  <si>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</si>
  <si>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</si>
  <si>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</si>
  <si>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</si>
  <si>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</si>
  <si>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</si>
  <si>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</si>
  <si>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</si>
  <si>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</si>
  <si>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</si>
  <si>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</si>
  <si>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</si>
  <si>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</si>
  <si>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</si>
  <si>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</si>
  <si>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</si>
  <si>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</si>
  <si>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</si>
  <si>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</si>
  <si>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</si>
  <si>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</si>
  <si>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</si>
  <si>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</si>
  <si>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</si>
  <si>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</si>
  <si>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</si>
  <si>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</si>
  <si>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</si>
  <si>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</si>
  <si>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</si>
  <si>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</si>
  <si>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</si>
  <si>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</si>
  <si>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</si>
  <si>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</si>
  <si>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</si>
  <si>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</si>
  <si>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</si>
  <si>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</si>
  <si>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</si>
  <si>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</si>
  <si>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</si>
  <si>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</si>
  <si>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</si>
  <si>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</si>
  <si>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</si>
  <si>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</si>
  <si>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</si>
  <si>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</si>
  <si>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</si>
  <si>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</si>
  <si>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</si>
  <si>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</si>
  <si>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</si>
  <si>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</si>
  <si>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</si>
  <si>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</si>
  <si>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</si>
  <si>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</si>
  <si>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</si>
  <si>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</si>
  <si>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</si>
  <si>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</si>
  <si>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</si>
  <si>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</si>
  <si>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</si>
  <si>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</si>
  <si>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</si>
  <si>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</si>
  <si>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</si>
  <si>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</si>
  <si>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</si>
  <si>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</si>
  <si>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</si>
  <si>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</si>
  <si>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</si>
  <si>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</si>
  <si>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</si>
  <si>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</si>
  <si>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</si>
  <si>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</si>
  <si>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</si>
  <si>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</si>
  <si>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</si>
  <si>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</si>
  <si>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</si>
  <si>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</si>
  <si>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</si>
  <si>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</si>
  <si>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</si>
  <si>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</si>
  <si>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</si>
  <si>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</si>
  <si>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</si>
  <si>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</si>
  <si>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</si>
  <si>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</si>
  <si>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</si>
  <si>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</si>
  <si>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</si>
  <si>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</si>
  <si>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</si>
  <si>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</si>
  <si>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</si>
  <si>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</si>
  <si>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</si>
  <si>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</si>
  <si>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</si>
  <si>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</si>
  <si>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</si>
  <si>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</si>
  <si>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</si>
  <si>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</si>
  <si>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</si>
  <si>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</si>
  <si>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</si>
  <si>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</si>
  <si>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</si>
  <si>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</si>
  <si>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</si>
  <si>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</si>
  <si>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</si>
  <si>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</si>
  <si>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</si>
  <si>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</si>
  <si>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</si>
  <si>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</si>
  <si>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</si>
  <si>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</si>
  <si>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</si>
  <si>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</si>
  <si>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</si>
  <si>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</si>
  <si>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</si>
  <si>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</si>
  <si>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</si>
  <si>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</si>
  <si>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</si>
  <si>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</si>
  <si>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</si>
  <si>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</si>
  <si>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</si>
  <si>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</si>
  <si>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</si>
  <si>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</si>
  <si>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</si>
  <si>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</si>
  <si>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</si>
  <si>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</si>
  <si>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</si>
  <si>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</si>
  <si>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</si>
  <si>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</si>
  <si>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</si>
  <si>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</si>
  <si>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</si>
  <si>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</si>
  <si>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</si>
  <si>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</si>
  <si>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</si>
  <si>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</si>
  <si>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</si>
  <si>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</si>
  <si>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</si>
  <si>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</si>
  <si>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</si>
  <si>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</si>
  <si>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</si>
  <si>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</si>
  <si>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</si>
  <si>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</si>
  <si>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</si>
  <si>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</si>
  <si>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</si>
  <si>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</si>
  <si>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</si>
  <si>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</si>
  <si>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</si>
  <si>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</si>
  <si>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</si>
  <si>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</si>
  <si>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</si>
  <si>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</si>
  <si>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</si>
  <si>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</si>
  <si>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</si>
  <si>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</si>
  <si>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</si>
  <si>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</si>
  <si>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</si>
  <si>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</si>
  <si>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</si>
  <si>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</si>
  <si>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</si>
  <si>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</si>
  <si>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</si>
  <si>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</si>
  <si>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</si>
  <si>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</si>
  <si>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</si>
  <si>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</si>
  <si>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</si>
  <si>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</si>
  <si>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</si>
  <si>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</si>
  <si>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</si>
  <si>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</si>
  <si>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</si>
  <si>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</si>
  <si>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</si>
  <si>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</si>
  <si>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</si>
  <si>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</si>
  <si>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</si>
  <si>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</si>
  <si>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</si>
  <si>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</si>
  <si>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</si>
  <si>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</si>
  <si>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</si>
  <si>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</si>
  <si>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</si>
  <si>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</si>
  <si>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</si>
  <si>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</si>
  <si>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</si>
  <si>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</si>
  <si>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</si>
  <si>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</si>
  <si>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</si>
  <si>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</si>
  <si>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</si>
  <si>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</si>
  <si>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</si>
  <si>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</si>
  <si>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</si>
  <si>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</si>
  <si>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</si>
  <si>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</si>
  <si>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</si>
  <si>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</si>
  <si>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</si>
  <si>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</si>
  <si>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</si>
  <si>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</si>
  <si>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</si>
  <si>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</si>
  <si>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</si>
  <si>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</si>
  <si>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</si>
  <si>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</si>
  <si>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</si>
  <si>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</si>
  <si>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</si>
  <si>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</si>
  <si>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</si>
  <si>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</si>
  <si>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</si>
  <si>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</si>
  <si>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</si>
  <si>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</si>
  <si>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</si>
  <si>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</si>
  <si>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</si>
  <si>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</si>
  <si>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</si>
  <si>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</si>
  <si>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</si>
  <si>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</si>
  <si>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</si>
  <si>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</si>
  <si>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</si>
  <si>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</si>
  <si>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</si>
  <si>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</si>
  <si>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</si>
  <si>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</si>
  <si>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</si>
  <si>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</si>
  <si>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</si>
  <si>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</si>
  <si>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</si>
  <si>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</si>
  <si>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</si>
  <si>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</si>
  <si>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</si>
  <si>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</si>
  <si>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</si>
  <si>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</si>
  <si>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</si>
  <si>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</si>
  <si>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</si>
  <si>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</si>
  <si>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</si>
  <si>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</si>
  <si>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</si>
  <si>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</si>
  <si>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</si>
  <si>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</si>
  <si>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</si>
  <si>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</si>
  <si>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</si>
  <si>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</si>
  <si>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</si>
  <si>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</si>
  <si>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</si>
  <si>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</si>
  <si>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</si>
  <si>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</si>
  <si>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</si>
  <si>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</si>
  <si>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</si>
  <si>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</si>
  <si>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</si>
  <si>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</si>
  <si>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</si>
  <si>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</si>
  <si>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</si>
  <si>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</si>
  <si>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</si>
  <si>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</si>
  <si>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</si>
  <si>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</si>
  <si>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</si>
  <si>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</si>
  <si>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</si>
  <si>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</si>
  <si>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</si>
  <si>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</si>
  <si>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</si>
  <si>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</si>
  <si>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</si>
  <si>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</si>
  <si>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</si>
  <si>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</si>
  <si>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</si>
  <si>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</si>
  <si>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</si>
  <si>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</si>
  <si>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</si>
  <si>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</si>
  <si>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</si>
  <si>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</si>
  <si>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</si>
  <si>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</si>
  <si>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</si>
  <si>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</si>
  <si>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</si>
  <si>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</si>
  <si>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</si>
  <si>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</si>
  <si>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</si>
  <si>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</si>
  <si>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</si>
  <si>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</si>
  <si>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</si>
  <si>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</si>
  <si>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</si>
  <si>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</si>
  <si>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</si>
  <si>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</si>
  <si>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</si>
  <si>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</si>
  <si>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</si>
  <si>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</si>
  <si>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</si>
  <si>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</si>
  <si>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</si>
  <si>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</si>
  <si>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</si>
  <si>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</si>
  <si>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</si>
  <si>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</si>
  <si>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</si>
  <si>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</si>
  <si>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</si>
  <si>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</si>
  <si>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</si>
  <si>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</si>
  <si>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</si>
  <si>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</si>
  <si>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</si>
  <si>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</si>
  <si>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</si>
  <si>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</si>
  <si>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</si>
  <si>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</si>
  <si>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</si>
  <si>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</si>
  <si>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</si>
  <si>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</si>
  <si>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</si>
  <si>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</si>
  <si>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</si>
  <si>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</si>
  <si>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</si>
  <si>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</si>
  <si>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</si>
  <si>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</si>
  <si>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</si>
  <si>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</si>
  <si>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</si>
  <si>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</si>
  <si>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</si>
  <si>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</si>
  <si>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</si>
  <si>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</si>
  <si>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</si>
  <si>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</si>
  <si>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</si>
  <si>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</si>
  <si>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</si>
  <si>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</si>
  <si>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</si>
  <si>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</si>
  <si>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</si>
  <si>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</si>
  <si>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</si>
  <si>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</si>
  <si>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</si>
  <si>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</si>
  <si>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</si>
  <si>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</si>
  <si>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</si>
  <si>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</si>
  <si>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</si>
  <si>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</si>
  <si>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</si>
  <si>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</si>
  <si>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</si>
  <si>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</si>
  <si>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</si>
  <si>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</si>
  <si>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</si>
  <si>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</si>
  <si>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</si>
  <si>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</si>
  <si>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</si>
  <si>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</si>
  <si>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</si>
  <si>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</si>
  <si>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</si>
  <si>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</si>
  <si>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</si>
  <si>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</si>
  <si>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</si>
  <si>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</si>
  <si>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</si>
  <si>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</si>
  <si>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</si>
  <si>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</si>
  <si>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</si>
  <si>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</si>
  <si>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</si>
  <si>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</si>
  <si>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</si>
  <si>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</si>
  <si>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</si>
  <si>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</si>
  <si>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</si>
  <si>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</si>
  <si>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</si>
  <si>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</si>
  <si>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</si>
  <si>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</si>
  <si>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</si>
  <si>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</si>
  <si>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</si>
  <si>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</si>
  <si>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</si>
  <si>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</si>
  <si>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</si>
  <si>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</si>
  <si>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</si>
  <si>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</si>
  <si>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</si>
  <si>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</si>
  <si>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</si>
  <si>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</si>
  <si>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</si>
  <si>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</si>
  <si>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</si>
  <si>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</si>
  <si>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</si>
  <si>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</si>
  <si>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</si>
  <si>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</si>
  <si>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</si>
  <si>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</si>
  <si>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</si>
  <si>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</si>
  <si>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</si>
  <si>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</si>
  <si>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</si>
  <si>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</si>
  <si>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</si>
  <si>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</si>
  <si>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</si>
  <si>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</si>
  <si>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</si>
  <si>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</si>
  <si>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</si>
  <si>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</si>
  <si>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</si>
  <si>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</si>
  <si>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</si>
  <si>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</si>
  <si>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</si>
  <si>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</si>
  <si>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</si>
  <si>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</si>
  <si>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</si>
  <si>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</si>
  <si>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</si>
  <si>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</si>
  <si>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</si>
  <si>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</si>
  <si>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</si>
  <si>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</si>
  <si>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</si>
  <si>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</si>
  <si>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</si>
  <si>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</si>
  <si>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</si>
  <si>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</si>
  <si>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</si>
  <si>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</si>
  <si>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</si>
  <si>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</si>
  <si>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</si>
  <si>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</si>
  <si>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</si>
  <si>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</si>
  <si>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</si>
  <si>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</si>
  <si>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</si>
  <si>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</si>
  <si>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</si>
  <si>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</si>
  <si>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</si>
  <si>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</si>
  <si>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</si>
  <si>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</si>
  <si>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</si>
  <si>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</si>
  <si>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</si>
  <si>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</si>
  <si>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</si>
  <si>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</si>
  <si>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</si>
  <si>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</si>
  <si>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</si>
  <si>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</si>
  <si>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</si>
  <si>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</si>
  <si>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</si>
  <si>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</si>
  <si>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</si>
  <si>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</si>
  <si>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</si>
  <si>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</si>
  <si>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</si>
  <si>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</si>
  <si>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</si>
  <si>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</si>
  <si>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</si>
  <si>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</si>
  <si>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</si>
  <si>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</si>
  <si>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</si>
  <si>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</si>
  <si>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</si>
  <si>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</si>
  <si>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</si>
  <si>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</si>
  <si>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</si>
  <si>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</si>
  <si>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</si>
  <si>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</si>
  <si>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</si>
  <si>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</si>
  <si>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</si>
  <si>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</si>
  <si>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</si>
  <si>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</si>
  <si>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</si>
  <si>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</si>
  <si>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</si>
  <si>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</si>
  <si>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</si>
  <si>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</si>
  <si>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</si>
  <si>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</si>
  <si>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</si>
  <si>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</si>
  <si>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</si>
  <si>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</si>
  <si>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</si>
  <si>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</si>
  <si>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</si>
  <si>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</si>
  <si>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</si>
  <si>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</si>
  <si>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</si>
  <si>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</si>
  <si>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</si>
  <si>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</si>
  <si>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</si>
  <si>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</si>
  <si>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</si>
  <si>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</si>
  <si>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</si>
  <si>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</si>
  <si>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</si>
  <si>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</si>
  <si>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</si>
  <si>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</si>
  <si>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</si>
  <si>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</si>
  <si>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</si>
  <si>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</si>
  <si>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</si>
  <si>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</si>
  <si>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</si>
  <si>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</si>
  <si>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</si>
  <si>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</si>
  <si>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</si>
  <si>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</si>
  <si>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</si>
  <si>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</si>
  <si>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</si>
  <si>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</si>
  <si>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</si>
  <si>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</si>
  <si>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</si>
  <si>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</si>
  <si>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</si>
  <si>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</si>
  <si>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</si>
  <si>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</si>
  <si>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</si>
  <si>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</si>
  <si>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</si>
  <si>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</si>
  <si>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</si>
  <si>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</si>
  <si>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</si>
  <si>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</si>
  <si>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</si>
  <si>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</si>
  <si>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</si>
  <si>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</si>
  <si>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</si>
  <si>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</si>
  <si>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</si>
  <si>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</si>
  <si>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</si>
  <si>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</si>
  <si>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</si>
  <si>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</si>
  <si>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</si>
  <si>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</si>
  <si>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</si>
  <si>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</si>
  <si>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</si>
  <si>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</si>
  <si>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</si>
  <si>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</si>
  <si>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</si>
  <si>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</si>
  <si>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</si>
  <si>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</si>
  <si>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</si>
  <si>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</si>
  <si>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</si>
  <si>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</si>
  <si>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</si>
  <si>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</si>
  <si>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</si>
  <si>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</si>
  <si>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</si>
  <si>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</si>
  <si>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</si>
  <si>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</si>
  <si>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</si>
  <si>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</si>
  <si>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</si>
  <si>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</si>
  <si>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</si>
  <si>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</si>
  <si>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</si>
  <si>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</si>
  <si>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</si>
  <si>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</si>
  <si>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</si>
  <si>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</si>
  <si>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</si>
  <si>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</si>
  <si>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</si>
  <si>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</si>
  <si>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</si>
  <si>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</si>
  <si>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</si>
  <si>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</si>
  <si>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</si>
  <si>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</si>
  <si>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</si>
  <si>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</si>
  <si>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</si>
  <si>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</si>
  <si>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</si>
  <si>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</si>
  <si>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</si>
  <si>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</si>
  <si>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</si>
  <si>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</si>
  <si>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</si>
  <si>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</si>
  <si>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</si>
  <si>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</si>
  <si>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</si>
  <si>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</si>
  <si>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</si>
  <si>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</si>
  <si>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</si>
  <si>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</si>
  <si>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</si>
  <si>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</si>
  <si>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</si>
  <si>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</si>
  <si>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</si>
  <si>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</si>
  <si>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</si>
  <si>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</si>
  <si>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</si>
  <si>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</si>
  <si>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</si>
  <si>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</si>
  <si>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</si>
  <si>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</si>
  <si>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</si>
  <si>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</si>
  <si>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</si>
  <si>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</si>
  <si>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</si>
  <si>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</si>
  <si>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</si>
  <si>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</si>
  <si>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</si>
  <si>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</si>
  <si>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</si>
  <si>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</si>
  <si>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</si>
  <si>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</si>
  <si>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</si>
  <si>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</si>
  <si>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</si>
  <si>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</si>
  <si>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</si>
  <si>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</si>
  <si>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</si>
  <si>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</si>
  <si>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</si>
  <si>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</si>
  <si>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</si>
  <si>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</si>
  <si>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</si>
  <si>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</si>
  <si>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</si>
  <si>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</si>
  <si>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</si>
  <si>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</si>
  <si>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</si>
  <si>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</si>
  <si>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</si>
  <si>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</si>
  <si>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</si>
  <si>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</si>
  <si>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</si>
  <si>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</si>
  <si>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</si>
  <si>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</si>
  <si>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</si>
  <si>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</si>
  <si>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</si>
  <si>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</si>
  <si>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</si>
  <si>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</si>
  <si>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</si>
  <si>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</si>
  <si>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</si>
  <si>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</si>
  <si>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</si>
  <si>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</si>
  <si>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</si>
  <si>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</si>
  <si>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</si>
  <si>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</si>
  <si>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</si>
  <si>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</si>
  <si>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</si>
  <si>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</si>
  <si>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</si>
  <si>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</si>
  <si>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</si>
  <si>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</si>
  <si>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</si>
  <si>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</si>
  <si>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</si>
  <si>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</si>
  <si>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</si>
  <si>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</si>
  <si>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</si>
  <si>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</si>
  <si>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</si>
  <si>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</si>
  <si>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</si>
  <si>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</si>
  <si>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</si>
  <si>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</si>
  <si>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</si>
  <si>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</si>
  <si>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</si>
  <si>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</si>
  <si>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</si>
  <si>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</si>
  <si>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</si>
  <si>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</si>
  <si>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</si>
  <si>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</si>
  <si>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</si>
  <si>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</si>
  <si>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</si>
  <si>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</si>
  <si>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</si>
  <si>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</si>
  <si>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</si>
  <si>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</si>
  <si>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</si>
  <si>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</si>
  <si>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</si>
  <si>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</si>
  <si>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</si>
  <si>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</si>
  <si>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</si>
  <si>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</si>
  <si>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</si>
  <si>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</si>
  <si>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</si>
  <si>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</si>
  <si>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</si>
  <si>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</si>
  <si>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</si>
  <si>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</si>
  <si>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</si>
  <si>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</si>
  <si>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</si>
  <si>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</si>
  <si>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</si>
  <si>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</si>
  <si>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</si>
  <si>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</si>
  <si>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</si>
  <si>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</si>
  <si>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</si>
  <si>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</si>
  <si>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</si>
  <si>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</si>
  <si>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</si>
  <si>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</si>
  <si>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</si>
  <si>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</si>
  <si>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</si>
  <si>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</si>
  <si>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</si>
  <si>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</si>
  <si>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</si>
  <si>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</si>
  <si>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</si>
  <si>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</si>
  <si>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</si>
  <si>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</si>
  <si>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</si>
  <si>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</si>
  <si>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</si>
  <si>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</si>
  <si>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</si>
  <si>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</si>
  <si>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</si>
  <si>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</si>
  <si>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</si>
  <si>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</si>
  <si>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</si>
  <si>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</si>
  <si>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</si>
  <si>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</si>
  <si>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</si>
  <si>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</si>
  <si>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</si>
  <si>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</si>
  <si>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</si>
  <si>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</si>
  <si>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</si>
  <si>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</si>
  <si>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</si>
  <si>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</si>
  <si>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</si>
  <si>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</si>
  <si>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</si>
  <si>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</si>
  <si>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</si>
  <si>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</si>
  <si>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</si>
  <si>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</si>
  <si>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</si>
  <si>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</si>
  <si>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</si>
  <si>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</si>
  <si>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</si>
  <si>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</si>
  <si>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</si>
  <si>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</si>
  <si>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</si>
  <si>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</si>
  <si>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</si>
  <si>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</si>
  <si>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</si>
  <si>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</si>
  <si>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</si>
  <si>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</si>
  <si>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</si>
  <si>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</si>
  <si>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</si>
  <si>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</si>
  <si>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</si>
  <si>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</si>
  <si>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</si>
  <si>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</si>
  <si>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</si>
  <si>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</si>
  <si>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</si>
  <si>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</si>
  <si>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</si>
  <si>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</si>
  <si>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</si>
  <si>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</si>
  <si>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</si>
  <si>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</si>
  <si>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</si>
  <si>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</si>
  <si>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</si>
  <si>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</si>
  <si>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</si>
  <si>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</si>
  <si>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</si>
  <si>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</si>
  <si>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</si>
  <si>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</si>
  <si>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</si>
  <si>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</si>
  <si>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</si>
  <si>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</si>
  <si>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</si>
  <si>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</si>
  <si>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</si>
  <si>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</si>
  <si>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</si>
  <si>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</si>
  <si>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</si>
  <si>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</si>
  <si>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</si>
  <si>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</si>
  <si>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</si>
  <si>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</si>
  <si>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</si>
  <si>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</si>
  <si>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</si>
  <si>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</si>
  <si>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</si>
  <si>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</si>
  <si>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</si>
  <si>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</si>
  <si>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</si>
  <si>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</si>
  <si>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</si>
  <si>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</si>
  <si>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</si>
  <si>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</si>
  <si>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</si>
  <si>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</si>
  <si>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</si>
  <si>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</si>
  <si>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</si>
  <si>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</si>
  <si>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</si>
  <si>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</si>
  <si>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</si>
  <si>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</si>
  <si>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</si>
  <si>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</si>
  <si>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</si>
  <si>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</si>
  <si>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</si>
  <si>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</si>
  <si>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</si>
  <si>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</si>
  <si>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</si>
  <si>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</si>
  <si>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</si>
  <si>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</si>
  <si>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</si>
  <si>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</si>
  <si>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</si>
  <si>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</si>
  <si>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</si>
  <si>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</si>
  <si>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</si>
  <si>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</si>
  <si>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</si>
  <si>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</si>
  <si>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</si>
  <si>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</si>
  <si>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</si>
  <si>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</si>
  <si>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</si>
  <si>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</si>
  <si>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</si>
  <si>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</si>
  <si>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</si>
  <si>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</si>
  <si>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</si>
  <si>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</si>
  <si>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</si>
  <si>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</si>
  <si>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</si>
  <si>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</si>
  <si>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</si>
  <si>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</si>
  <si>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</si>
  <si>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</si>
  <si>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</si>
  <si>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</si>
  <si>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</si>
  <si>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</si>
  <si>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</si>
  <si>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</si>
  <si>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</si>
  <si>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</si>
  <si>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</si>
  <si>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</si>
  <si>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</si>
  <si>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</si>
  <si>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</si>
  <si>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</si>
  <si>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</si>
  <si>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</si>
  <si>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</si>
  <si>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</si>
  <si>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</si>
  <si>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</si>
  <si>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</si>
  <si>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</si>
  <si>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</si>
  <si>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</si>
  <si>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</si>
  <si>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</si>
  <si>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</si>
  <si>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</si>
  <si>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</si>
  <si>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</si>
  <si>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</si>
  <si>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</si>
  <si>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</si>
  <si>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</si>
  <si>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</si>
  <si>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</si>
  <si>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</si>
  <si>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</si>
  <si>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</si>
  <si>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</si>
  <si>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</si>
  <si>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</si>
  <si>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</si>
  <si>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</si>
  <si>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</si>
  <si>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</si>
  <si>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</si>
  <si>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</si>
  <si>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</si>
  <si>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</si>
  <si>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</si>
  <si>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</si>
  <si>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</si>
  <si>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</si>
  <si>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</si>
  <si>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</si>
  <si>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</si>
  <si>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</si>
  <si>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</si>
  <si>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</si>
  <si>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</si>
  <si>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</si>
  <si>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</si>
  <si>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</si>
  <si>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</si>
  <si>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</si>
  <si>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</si>
  <si>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</si>
  <si>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</si>
  <si>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</si>
  <si>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</si>
  <si>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</si>
  <si>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</si>
  <si>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</si>
  <si>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</si>
  <si>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</si>
  <si>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</si>
  <si>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</si>
  <si>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</si>
  <si>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</si>
  <si>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</si>
  <si>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</si>
  <si>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</si>
  <si>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</si>
  <si>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</si>
  <si>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</si>
  <si>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</si>
  <si>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</si>
  <si>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</si>
  <si>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</si>
  <si>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</si>
  <si>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</si>
  <si>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</si>
  <si>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</si>
  <si>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</si>
  <si>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</si>
  <si>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</si>
  <si>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</si>
  <si>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</si>
  <si>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</si>
  <si>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</si>
  <si>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</si>
  <si>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</si>
  <si>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</si>
  <si>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</si>
  <si>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</si>
  <si>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</si>
  <si>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</si>
  <si>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</si>
  <si>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</si>
  <si>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</si>
  <si>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</si>
  <si>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</si>
  <si>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</si>
  <si>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</si>
  <si>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</si>
  <si>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</si>
  <si>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</si>
  <si>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</si>
  <si>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</si>
  <si>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</si>
  <si>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</si>
  <si>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</si>
  <si>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</si>
  <si>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</si>
  <si>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</si>
  <si>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</si>
  <si>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</si>
  <si>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</si>
  <si>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</si>
  <si>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</si>
  <si>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</si>
  <si>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</si>
  <si>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</si>
  <si>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</si>
  <si>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</si>
  <si>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</si>
  <si>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</si>
  <si>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</si>
  <si>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</si>
  <si>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</si>
  <si>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</si>
  <si>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</si>
  <si>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</si>
  <si>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</si>
  <si>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</si>
  <si>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</si>
  <si>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</si>
  <si>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</si>
  <si>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</si>
  <si>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</si>
  <si>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</si>
  <si>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</si>
  <si>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</si>
  <si>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</si>
  <si>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</si>
  <si>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</si>
  <si>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</si>
  <si>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</si>
  <si>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</si>
  <si>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</si>
  <si>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</si>
  <si>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</si>
  <si>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</si>
  <si>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</si>
  <si>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</si>
  <si>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</si>
  <si>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</si>
  <si>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</si>
  <si>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</si>
  <si>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</si>
  <si>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</si>
  <si>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</si>
  <si>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</si>
  <si>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</si>
  <si>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</si>
  <si>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</si>
  <si>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</si>
  <si>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</si>
  <si>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</si>
  <si>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</si>
  <si>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</si>
  <si>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</si>
  <si>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</si>
  <si>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</si>
  <si>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</si>
  <si>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</si>
  <si>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</si>
  <si>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</si>
  <si>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</si>
  <si>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</si>
  <si>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</si>
  <si>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</si>
  <si>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</si>
  <si>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</si>
  <si>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</si>
  <si>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</si>
  <si>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</si>
  <si>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</si>
  <si>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</si>
  <si>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</si>
  <si>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</si>
  <si>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</si>
  <si>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</si>
  <si>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</si>
  <si>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</si>
  <si>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</si>
  <si>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</si>
  <si>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</si>
  <si>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</si>
  <si>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</si>
  <si>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</si>
  <si>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</si>
  <si>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</si>
  <si>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</si>
  <si>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</si>
  <si>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</si>
  <si>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</si>
  <si>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</si>
  <si>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</si>
  <si>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</si>
  <si>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</si>
  <si>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</si>
  <si>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</si>
  <si>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</si>
  <si>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</si>
  <si>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</si>
  <si>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</si>
  <si>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</si>
  <si>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</si>
  <si>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</si>
  <si>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</si>
  <si>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</si>
  <si>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</si>
  <si>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</si>
  <si>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</si>
  <si>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</si>
  <si>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</si>
  <si>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</si>
  <si>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</si>
  <si>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</si>
  <si>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</si>
  <si>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</si>
  <si>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</si>
  <si>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</si>
  <si>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</si>
  <si>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</si>
  <si>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</si>
  <si>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</si>
  <si>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</si>
  <si>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</si>
  <si>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</si>
  <si>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</si>
  <si>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</si>
  <si>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</si>
  <si>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</si>
  <si>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</si>
  <si>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</si>
  <si>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</si>
  <si>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</si>
  <si>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</si>
  <si>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</si>
  <si>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</si>
  <si>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</si>
  <si>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</si>
  <si>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</si>
  <si>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</si>
  <si>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</si>
  <si>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</si>
  <si>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</si>
  <si>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</si>
  <si>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</si>
  <si>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</si>
  <si>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</si>
  <si>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</si>
  <si>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</si>
  <si>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</si>
  <si>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</si>
  <si>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</si>
  <si>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</si>
  <si>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</si>
  <si>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</si>
  <si>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</si>
  <si>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</si>
  <si>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</si>
  <si>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</si>
  <si>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</si>
  <si>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</si>
  <si>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</si>
  <si>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</si>
  <si>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</si>
  <si>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</si>
  <si>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</si>
  <si>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</si>
  <si>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</si>
  <si>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</si>
  <si>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</si>
  <si>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</si>
  <si>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</si>
  <si>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</si>
  <si>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</si>
  <si>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</si>
  <si>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</si>
  <si>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</si>
  <si>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</si>
  <si>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</si>
  <si>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</si>
  <si>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</si>
  <si>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</si>
  <si>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</si>
  <si>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</si>
  <si>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</si>
  <si>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</si>
  <si>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</si>
  <si>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</si>
  <si>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</si>
  <si>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</si>
  <si>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</si>
  <si>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</si>
  <si>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</si>
  <si>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</si>
  <si>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</si>
  <si>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</si>
  <si>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</si>
  <si>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</si>
  <si>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</si>
  <si>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</si>
  <si>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</si>
  <si>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</si>
  <si>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</si>
  <si>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</si>
  <si>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</si>
  <si>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</si>
  <si>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</si>
  <si>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</si>
  <si>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</si>
  <si>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</si>
  <si>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</si>
  <si>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</si>
  <si>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</si>
  <si>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</si>
  <si>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</si>
  <si>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</si>
  <si>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</si>
  <si>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</si>
  <si>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</si>
  <si>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</si>
  <si>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</si>
  <si>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</si>
  <si>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</si>
  <si>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</si>
  <si>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</si>
  <si>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</si>
  <si>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</si>
  <si>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</si>
  <si>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</si>
  <si>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</si>
  <si>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</si>
  <si>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</si>
  <si>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</si>
  <si>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</si>
  <si>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</si>
  <si>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</si>
  <si>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</si>
  <si>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</si>
  <si>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</si>
  <si>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</si>
  <si>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</si>
  <si>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</si>
  <si>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</si>
  <si>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</si>
  <si>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</si>
  <si>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</si>
  <si>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</si>
  <si>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</si>
  <si>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</si>
  <si>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</si>
  <si>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</si>
  <si>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</si>
  <si>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</si>
  <si>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</si>
  <si>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</si>
  <si>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</si>
  <si>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</si>
  <si>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</si>
  <si>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</si>
  <si>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</si>
  <si>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</si>
  <si>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</si>
  <si>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</si>
  <si>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</si>
  <si>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</si>
  <si>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</si>
  <si>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</si>
  <si>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</si>
  <si>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</si>
  <si>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</si>
  <si>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</si>
  <si>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</si>
  <si>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</si>
  <si>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</si>
  <si>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</si>
  <si>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</si>
  <si>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</si>
  <si>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</si>
  <si>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</si>
  <si>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</si>
  <si>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</si>
  <si>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</si>
  <si>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</si>
  <si>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</si>
  <si>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</si>
  <si>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</si>
  <si>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</si>
  <si>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</si>
  <si>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</si>
  <si>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</si>
  <si>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</si>
  <si>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</si>
  <si>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</si>
  <si>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</si>
  <si>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</si>
  <si>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</si>
  <si>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</si>
  <si>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</si>
  <si>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</si>
  <si>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</si>
  <si>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</si>
  <si>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</si>
  <si>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</si>
  <si>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</si>
  <si>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</si>
  <si>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</si>
  <si>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</si>
  <si>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</si>
  <si>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</si>
  <si>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</si>
  <si>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</si>
  <si>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</si>
  <si>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</si>
  <si>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</si>
  <si>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</si>
  <si>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</si>
  <si>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</si>
  <si>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</si>
  <si>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</si>
  <si>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</si>
  <si>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</si>
  <si>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</si>
  <si>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</si>
  <si>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</si>
  <si>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</si>
  <si>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</si>
  <si>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</si>
  <si>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</si>
  <si>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</si>
  <si>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</si>
  <si>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</si>
  <si>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</si>
  <si>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</si>
  <si>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</si>
  <si>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</si>
  <si>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</si>
  <si>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</si>
  <si>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</si>
  <si>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</si>
  <si>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</si>
  <si>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</si>
  <si>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</si>
  <si>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</si>
  <si>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</si>
  <si>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</si>
  <si>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</si>
  <si>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</si>
  <si>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</si>
  <si>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</si>
  <si>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</si>
  <si>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</si>
  <si>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</si>
  <si>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</si>
  <si>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</si>
  <si>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</si>
  <si>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</si>
  <si>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</si>
  <si>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</si>
  <si>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</si>
  <si>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</si>
  <si>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</si>
  <si>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</si>
  <si>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</si>
  <si>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</si>
  <si>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</si>
  <si>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</si>
  <si>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</si>
  <si>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</si>
  <si>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</si>
  <si>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</si>
  <si>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</si>
  <si>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</si>
  <si>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</si>
  <si>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</si>
  <si>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</si>
  <si>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</si>
  <si>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</si>
  <si>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</si>
  <si>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</si>
  <si>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</si>
  <si>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</si>
  <si>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</si>
  <si>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</si>
  <si>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</si>
  <si>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</si>
  <si>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</si>
  <si>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</si>
  <si>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</si>
  <si>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</si>
  <si>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</si>
  <si>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</si>
  <si>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</si>
  <si>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</si>
  <si>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</si>
  <si>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</si>
  <si>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</si>
  <si>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</si>
  <si>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</si>
  <si>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</si>
  <si>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</si>
  <si>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</si>
  <si>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</si>
  <si>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</si>
  <si>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</si>
  <si>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</si>
  <si>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</si>
  <si>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</si>
  <si>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</si>
  <si>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</si>
  <si>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</si>
  <si>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</si>
  <si>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</si>
  <si>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</si>
  <si>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</si>
  <si>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</si>
  <si>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</si>
  <si>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</si>
  <si>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</si>
  <si>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</si>
  <si>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</si>
  <si>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</si>
  <si>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</si>
  <si>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</si>
  <si>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</si>
  <si>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</si>
  <si>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</si>
  <si>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</si>
  <si>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</si>
  <si>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</si>
  <si>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</si>
  <si>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</si>
  <si>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</si>
  <si>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</si>
  <si>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</si>
  <si>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</si>
  <si>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</si>
  <si>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</si>
  <si>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</si>
  <si>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</si>
  <si>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</si>
  <si>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</si>
  <si>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</si>
  <si>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</si>
  <si>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</si>
  <si>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</si>
  <si>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</si>
  <si>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</si>
  <si>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</si>
  <si>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</si>
  <si>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</si>
  <si>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</si>
  <si>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</si>
  <si>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</si>
  <si>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</si>
  <si>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</si>
  <si>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</si>
  <si>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</si>
  <si>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</si>
  <si>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</si>
  <si>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</si>
  <si>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</si>
  <si>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</si>
  <si>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</si>
  <si>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</si>
  <si>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</si>
  <si>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</si>
  <si>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</si>
  <si>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</si>
  <si>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</si>
  <si>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</si>
  <si>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</si>
  <si>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</si>
  <si>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</si>
  <si>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</si>
  <si>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</si>
  <si>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</si>
  <si>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</si>
  <si>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</si>
  <si>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</si>
  <si>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</si>
  <si>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</si>
  <si>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</si>
  <si>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</si>
  <si>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</si>
  <si>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</si>
  <si>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</si>
  <si>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</si>
  <si>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</si>
  <si>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</si>
  <si>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</si>
  <si>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</si>
  <si>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</si>
  <si>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</si>
  <si>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</si>
  <si>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</si>
  <si>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</si>
  <si>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</si>
  <si>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</si>
  <si>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</si>
  <si>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</si>
  <si>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</si>
  <si>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</si>
  <si>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</si>
  <si>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</si>
  <si>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</si>
  <si>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</si>
  <si>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</si>
  <si>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</si>
  <si>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</si>
  <si>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</si>
  <si>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</si>
  <si>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</si>
  <si>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</si>
  <si>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</si>
  <si>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</si>
  <si>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</si>
  <si>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</si>
  <si>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</si>
  <si>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</si>
  <si>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</si>
  <si>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</si>
  <si>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</si>
  <si>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</si>
  <si>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</si>
  <si>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</si>
  <si>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</si>
  <si>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</si>
  <si>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</si>
  <si>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</si>
  <si>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</si>
  <si>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</si>
  <si>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</si>
  <si>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</si>
  <si>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</si>
  <si>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</si>
  <si>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</si>
  <si>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</si>
  <si>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</si>
  <si>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</si>
  <si>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</si>
  <si>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</si>
  <si>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</si>
  <si>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</si>
  <si>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</si>
  <si>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</si>
  <si>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</si>
  <si>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</si>
  <si>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</si>
  <si>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</si>
  <si>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</si>
  <si>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</si>
  <si>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</si>
  <si>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</si>
  <si>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</si>
  <si>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</si>
  <si>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</si>
  <si>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</si>
  <si>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</si>
  <si>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</si>
  <si>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</si>
  <si>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</si>
  <si>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</si>
  <si>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</si>
  <si>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</si>
  <si>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</si>
  <si>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</si>
  <si>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</si>
  <si>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</si>
  <si>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</si>
  <si>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</si>
  <si>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</si>
  <si>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</si>
  <si>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</si>
  <si>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</si>
  <si>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</si>
  <si>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</si>
  <si>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</si>
  <si>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</si>
  <si>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</si>
  <si>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</si>
  <si>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</si>
  <si>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</si>
  <si>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</si>
  <si>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</si>
  <si>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</si>
  <si>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</si>
  <si>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</si>
  <si>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</si>
  <si>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</si>
  <si>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</si>
  <si>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</si>
  <si>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</si>
  <si>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</si>
  <si>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</si>
  <si>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</si>
  <si>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</si>
  <si>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</si>
  <si>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</si>
  <si>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</si>
  <si>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</si>
  <si>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</si>
  <si>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</si>
  <si>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</si>
  <si>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</si>
  <si>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</si>
  <si>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</si>
  <si>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</si>
  <si>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</si>
  <si>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</si>
  <si>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</si>
  <si>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</si>
  <si>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</si>
  <si>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</si>
  <si>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</si>
  <si>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</si>
  <si>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</si>
  <si>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</si>
  <si>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</si>
  <si>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</si>
  <si>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</si>
  <si>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</si>
  <si>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</si>
  <si>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</si>
  <si>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</si>
  <si>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</si>
  <si>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</si>
  <si>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</si>
  <si>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</si>
  <si>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</si>
  <si>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</si>
  <si>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</si>
  <si>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</si>
  <si>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</si>
  <si>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</si>
  <si>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</si>
  <si>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</si>
  <si>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</si>
  <si>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</si>
  <si>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</si>
  <si>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</si>
  <si>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</si>
  <si>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</si>
  <si>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</si>
  <si>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</si>
  <si>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</si>
  <si>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</si>
  <si>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</si>
  <si>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</si>
  <si>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</si>
  <si>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</si>
  <si>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</si>
  <si>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</si>
  <si>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</si>
  <si>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</si>
  <si>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</si>
  <si>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</si>
  <si>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</si>
  <si>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</si>
  <si>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</si>
  <si>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</si>
  <si>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</si>
  <si>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</si>
  <si>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</si>
  <si>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</si>
  <si>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</si>
  <si>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</si>
  <si>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</si>
  <si>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</si>
  <si>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</si>
  <si>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</si>
  <si>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</si>
  <si>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</si>
  <si>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</si>
  <si>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</si>
  <si>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</si>
  <si>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</si>
  <si>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</si>
  <si>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</si>
  <si>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</si>
  <si>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</si>
  <si>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</si>
  <si>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</si>
  <si>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</si>
  <si>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</si>
  <si>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</si>
  <si>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</si>
  <si>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</si>
  <si>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</si>
  <si>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</si>
  <si>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</si>
  <si>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</si>
  <si>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</si>
  <si>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</si>
  <si>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</si>
  <si>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</si>
  <si>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</si>
  <si>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</si>
  <si>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</si>
  <si>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</si>
  <si>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</si>
  <si>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</si>
  <si>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</si>
  <si>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</si>
  <si>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</si>
  <si>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</si>
  <si>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</si>
  <si>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</si>
  <si>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</si>
  <si>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</si>
  <si>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</si>
  <si>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</si>
  <si>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</si>
  <si>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</si>
  <si>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</si>
  <si>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</si>
  <si>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</si>
  <si>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</si>
  <si>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</si>
  <si>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</si>
  <si>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</si>
  <si>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</si>
  <si>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</si>
  <si>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</si>
  <si>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</si>
  <si>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</si>
  <si>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</si>
  <si>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</si>
  <si>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</si>
  <si>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</si>
  <si>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</si>
  <si>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</si>
  <si>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</si>
  <si>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</si>
  <si>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</si>
  <si>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</si>
  <si>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</si>
  <si>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</si>
  <si>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</si>
  <si>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</si>
  <si>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</si>
  <si>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</si>
  <si>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</si>
  <si>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</si>
  <si>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</si>
  <si>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</si>
  <si>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</si>
  <si>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</si>
  <si>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</si>
  <si>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</si>
  <si>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</si>
  <si>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</si>
  <si>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</si>
  <si>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</si>
  <si>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</si>
  <si>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</si>
  <si>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</si>
  <si>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</si>
  <si>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</si>
  <si>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</si>
  <si>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</si>
  <si>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</si>
  <si>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</si>
  <si>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</si>
  <si>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</si>
  <si>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</si>
  <si>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</si>
  <si>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</si>
  <si>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</si>
  <si>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</si>
  <si>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</si>
  <si>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</si>
  <si>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</si>
  <si>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</si>
  <si>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</si>
  <si>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</si>
  <si>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</si>
  <si>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</si>
  <si>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</si>
  <si>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</si>
  <si>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</si>
  <si>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</si>
  <si>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</si>
  <si>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</si>
  <si>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</si>
  <si>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</si>
  <si>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</si>
  <si>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</si>
  <si>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</si>
  <si>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</si>
  <si>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</si>
  <si>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</si>
  <si>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</si>
  <si>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</si>
  <si>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</si>
  <si>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</si>
  <si>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</si>
  <si>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</si>
  <si>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</si>
  <si>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</si>
  <si>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</si>
  <si>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</si>
  <si>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</si>
  <si>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</si>
  <si>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</si>
  <si>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</si>
  <si>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</si>
  <si>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</si>
  <si>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</si>
  <si>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</si>
  <si>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</si>
  <si>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</si>
  <si>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</si>
  <si>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</si>
  <si>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</si>
  <si>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</si>
  <si>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</si>
  <si>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</si>
  <si>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</si>
  <si>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</si>
  <si>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</si>
  <si>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</si>
  <si>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</si>
  <si>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</si>
  <si>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</si>
  <si>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</si>
  <si>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</si>
  <si>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</si>
  <si>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</si>
  <si>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</si>
  <si>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</si>
  <si>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</si>
  <si>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</si>
  <si>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</si>
  <si>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</si>
  <si>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</si>
  <si>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</si>
  <si>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</si>
  <si>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</si>
  <si>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</si>
  <si>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</si>
  <si>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</si>
  <si>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</si>
  <si>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</si>
  <si>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</si>
  <si>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</si>
  <si>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</si>
  <si>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</si>
  <si>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</si>
  <si>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</si>
  <si>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</si>
  <si>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</si>
  <si>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</si>
  <si>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</si>
  <si>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</si>
  <si>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</si>
  <si>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</si>
  <si>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</si>
  <si>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</si>
  <si>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</si>
  <si>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</si>
  <si>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</si>
  <si>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</si>
  <si>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</si>
  <si>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</si>
  <si>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</si>
  <si>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</si>
  <si>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</si>
  <si>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</si>
  <si>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</si>
  <si>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</si>
  <si>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</si>
  <si>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</si>
  <si>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</si>
  <si>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</si>
  <si>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</si>
  <si>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</si>
  <si>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</si>
  <si>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</si>
  <si>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</si>
  <si>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</si>
  <si>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</si>
  <si>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</si>
  <si>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</si>
  <si>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</si>
  <si>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</si>
  <si>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</si>
  <si>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</si>
  <si>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</si>
  <si>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</si>
  <si>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</si>
  <si>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</si>
  <si>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</si>
  <si>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</si>
  <si>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</si>
  <si>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</si>
  <si>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</si>
  <si>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</si>
  <si>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</si>
  <si>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</si>
  <si>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</si>
  <si>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</si>
  <si>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</si>
  <si>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</si>
  <si>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</si>
  <si>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</si>
  <si>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</si>
  <si>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</si>
  <si>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</si>
  <si>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</si>
  <si>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</si>
  <si>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</si>
  <si>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</si>
  <si>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</si>
  <si>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</si>
  <si>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</si>
  <si>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</si>
  <si>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</si>
  <si>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</si>
  <si>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</si>
  <si>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</si>
  <si>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</si>
  <si>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</si>
  <si>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</si>
  <si>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</si>
  <si>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</si>
  <si>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</si>
  <si>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</si>
  <si>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</si>
  <si>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</si>
  <si>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</si>
  <si>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</si>
  <si>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</si>
  <si>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</si>
  <si>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</si>
  <si>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</si>
  <si>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</si>
  <si>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</si>
  <si>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</si>
  <si>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</si>
  <si>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</si>
  <si>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</si>
  <si>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</si>
  <si>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</si>
  <si>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</si>
  <si>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</si>
  <si>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</si>
  <si>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</si>
  <si>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</si>
  <si>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</si>
  <si>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</si>
  <si>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</si>
  <si>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</si>
  <si>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</si>
  <si>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</si>
  <si>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</si>
  <si>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</si>
  <si>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</si>
  <si>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</si>
  <si>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</si>
  <si>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</si>
  <si>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</si>
  <si>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</si>
  <si>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</si>
  <si>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</si>
  <si>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</si>
  <si>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</si>
  <si>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</si>
  <si>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</si>
  <si>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</si>
  <si>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</si>
  <si>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</si>
  <si>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</si>
  <si>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</si>
  <si>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</si>
  <si>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</si>
  <si>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</si>
  <si>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</si>
  <si>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</si>
  <si>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</si>
  <si>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</si>
  <si>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</si>
  <si>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</si>
  <si>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</si>
  <si>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</si>
  <si>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</si>
  <si>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</si>
  <si>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</si>
  <si>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</si>
  <si>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</si>
  <si>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</si>
  <si>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</si>
  <si>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</si>
  <si>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</si>
  <si>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</si>
  <si>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</si>
  <si>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</si>
  <si>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</si>
  <si>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</si>
  <si>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</si>
  <si>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</si>
  <si>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</si>
  <si>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</si>
  <si>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</si>
  <si>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</si>
  <si>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</si>
  <si>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</si>
  <si>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</si>
  <si>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</si>
  <si>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</si>
  <si>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</si>
  <si>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</si>
  <si>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</si>
  <si>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</si>
  <si>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</si>
  <si>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</si>
  <si>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</si>
  <si>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</si>
  <si>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</si>
  <si>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</si>
  <si>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</si>
  <si>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</si>
  <si>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</si>
  <si>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</si>
  <si>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</si>
  <si>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</si>
  <si>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</si>
  <si>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</si>
  <si>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</si>
  <si>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</si>
  <si>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</si>
  <si>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</si>
  <si>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</si>
  <si>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</si>
  <si>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</si>
  <si>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</si>
  <si>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</si>
  <si>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</si>
  <si>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</si>
  <si>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</si>
  <si>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</si>
  <si>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</si>
  <si>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</si>
  <si>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</si>
  <si>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</si>
  <si>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</si>
  <si>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</si>
  <si>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</si>
  <si>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</si>
  <si>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</si>
  <si>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</si>
  <si>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</si>
  <si>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</si>
  <si>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</si>
  <si>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</si>
  <si>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</si>
  <si>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</si>
  <si>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</si>
  <si>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</si>
  <si>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</si>
  <si>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</si>
  <si>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</si>
  <si>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</si>
  <si>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</si>
  <si>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</si>
  <si>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</si>
  <si>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</si>
  <si>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</si>
  <si>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</si>
  <si>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</si>
  <si>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</si>
  <si>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</si>
  <si>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</si>
  <si>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</si>
  <si>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</si>
  <si>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</si>
  <si>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</si>
  <si>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</si>
  <si>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</si>
  <si>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</si>
  <si>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</si>
  <si>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</si>
  <si>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</si>
  <si>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</si>
  <si>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</si>
  <si>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</si>
  <si>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</si>
  <si>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</si>
  <si>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</si>
  <si>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</si>
  <si>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</si>
  <si>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</si>
  <si>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</si>
  <si>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</si>
  <si>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</si>
  <si>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</si>
  <si>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</si>
  <si>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</si>
  <si>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</si>
  <si>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</si>
  <si>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</si>
  <si>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</si>
  <si>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</si>
  <si>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</si>
  <si>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</si>
  <si>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</si>
  <si>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</si>
  <si>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</si>
  <si>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</si>
  <si>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</si>
  <si>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</si>
  <si>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</si>
  <si>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</si>
  <si>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</si>
  <si>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</si>
  <si>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</si>
  <si>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</si>
  <si>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</si>
  <si>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</si>
  <si>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</si>
  <si>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</si>
  <si>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</si>
  <si>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</si>
  <si>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</si>
  <si>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</si>
  <si>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</si>
  <si>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</si>
  <si>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</si>
  <si>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</si>
  <si>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</si>
  <si>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</si>
  <si>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</si>
  <si>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</si>
  <si>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</si>
  <si>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</si>
  <si>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</si>
  <si>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</si>
  <si>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</si>
  <si>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</si>
  <si>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</si>
  <si>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</si>
  <si>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</si>
  <si>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</si>
  <si>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</si>
  <si>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</si>
  <si>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</si>
  <si>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</si>
  <si>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</si>
  <si>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</si>
  <si>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</si>
  <si>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</si>
  <si>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</si>
  <si>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</si>
  <si>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</si>
  <si>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</si>
  <si>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</si>
  <si>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</si>
  <si>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</si>
  <si>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</si>
  <si>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</si>
  <si>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</si>
  <si>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</si>
  <si>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</si>
  <si>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</si>
  <si>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</si>
  <si>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</si>
  <si>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</si>
  <si>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</si>
  <si>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</si>
  <si>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</si>
  <si>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</si>
  <si>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</si>
  <si>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</si>
  <si>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</si>
  <si>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</si>
  <si>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</si>
  <si>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</si>
  <si>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</si>
  <si>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</si>
  <si>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</si>
  <si>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</si>
  <si>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</si>
  <si>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</si>
  <si>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</si>
  <si>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</si>
  <si>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</si>
  <si>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</si>
  <si>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</si>
  <si>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</si>
  <si>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</si>
  <si>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</si>
  <si>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</si>
  <si>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</si>
  <si>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</si>
  <si>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</si>
  <si>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</si>
  <si>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</si>
  <si>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</si>
  <si>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</si>
  <si>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</si>
  <si>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</si>
  <si>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</si>
  <si>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</si>
  <si>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</si>
  <si>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</si>
  <si>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</si>
  <si>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</si>
  <si>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</si>
  <si>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</si>
  <si>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</si>
  <si>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</si>
  <si>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</si>
  <si>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</si>
  <si>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</si>
  <si>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</si>
  <si>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</si>
  <si>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</si>
  <si>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</si>
  <si>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</si>
  <si>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</si>
  <si>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</si>
  <si>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</si>
  <si>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</si>
  <si>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</si>
  <si>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</si>
  <si>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</si>
  <si>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</si>
  <si>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</si>
  <si>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</si>
  <si>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</si>
  <si>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</si>
  <si>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</si>
  <si>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</si>
  <si>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</si>
  <si>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</si>
  <si>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</si>
  <si>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</si>
  <si>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</si>
  <si>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</si>
  <si>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</si>
  <si>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</si>
  <si>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</si>
  <si>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</si>
  <si>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</si>
  <si>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</si>
  <si>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</si>
  <si>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</si>
  <si>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</si>
  <si>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</si>
  <si>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</si>
  <si>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</si>
  <si>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</si>
  <si>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</si>
  <si>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</si>
  <si>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</si>
  <si>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</si>
  <si>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</si>
  <si>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</si>
  <si>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</si>
  <si>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</si>
  <si>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</si>
  <si>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</si>
  <si>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</si>
  <si>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</si>
  <si>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</si>
  <si>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</si>
  <si>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</si>
  <si>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</si>
  <si>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</si>
  <si>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</si>
  <si>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</si>
  <si>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</si>
  <si>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</si>
  <si>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</si>
  <si>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</si>
  <si>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</si>
  <si>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</si>
  <si>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</si>
  <si>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</si>
  <si>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</si>
  <si>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</si>
  <si>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</si>
  <si>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</si>
  <si>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</si>
  <si>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</si>
  <si>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</si>
  <si>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</si>
  <si>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</si>
  <si>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</si>
  <si>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</si>
  <si>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</si>
  <si>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</si>
  <si>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</si>
  <si>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</si>
  <si>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</si>
  <si>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</si>
  <si>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</si>
  <si>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</si>
  <si>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</si>
  <si>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</si>
  <si>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</si>
  <si>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</si>
  <si>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</si>
  <si>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</si>
  <si>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</si>
  <si>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</si>
  <si>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</si>
  <si>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</si>
  <si>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</si>
  <si>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</si>
  <si>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</si>
  <si>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</si>
  <si>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</si>
  <si>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</si>
  <si>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</si>
  <si>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</si>
  <si>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</si>
  <si>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</si>
  <si>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</si>
  <si>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</si>
  <si>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</si>
  <si>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</si>
  <si>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</si>
  <si>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</si>
  <si>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</si>
  <si>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</si>
  <si>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</si>
  <si>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</si>
  <si>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</si>
  <si>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</si>
  <si>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</si>
  <si>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</si>
  <si>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</si>
  <si>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</si>
  <si>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</si>
  <si>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</si>
  <si>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</si>
  <si>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</si>
  <si>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</si>
  <si>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</si>
  <si>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</si>
  <si>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</si>
  <si>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</si>
  <si>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</si>
  <si>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</si>
  <si>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</si>
  <si>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</si>
  <si>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</si>
  <si>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</si>
  <si>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</si>
  <si>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</si>
  <si>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</si>
  <si>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</si>
  <si>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</si>
  <si>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</si>
  <si>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</si>
  <si>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</si>
  <si>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</si>
  <si>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</si>
  <si>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</si>
  <si>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</si>
  <si>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</si>
  <si>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</si>
  <si>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</si>
  <si>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</si>
  <si>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</si>
  <si>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</si>
  <si>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</si>
  <si>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</si>
  <si>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</si>
  <si>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</si>
  <si>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</si>
  <si>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</si>
  <si>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</si>
  <si>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</si>
  <si>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</si>
  <si>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</si>
  <si>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</si>
  <si>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</si>
  <si>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</si>
  <si>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</si>
  <si>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</si>
  <si>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</si>
  <si>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</si>
  <si>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</si>
  <si>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</si>
  <si>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</si>
  <si>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</si>
  <si>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</si>
  <si>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</si>
  <si>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</si>
  <si>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</si>
  <si>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</si>
  <si>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</si>
  <si>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</si>
  <si>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</si>
  <si>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</si>
  <si>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</si>
  <si>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</si>
  <si>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</si>
  <si>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</si>
  <si>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</si>
  <si>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</si>
  <si>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</si>
  <si>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</si>
  <si>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</si>
  <si>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</si>
  <si>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</si>
  <si>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</si>
  <si>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</si>
  <si>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</si>
  <si>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</si>
  <si>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</si>
  <si>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</si>
  <si>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</si>
  <si>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</si>
  <si>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</si>
  <si>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</si>
  <si>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</si>
  <si>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</si>
  <si>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</si>
  <si>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</si>
  <si>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</si>
  <si>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</si>
  <si>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</si>
  <si>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</si>
  <si>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</si>
  <si>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</si>
  <si>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</si>
  <si>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</si>
  <si>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</si>
  <si>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</si>
  <si>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</si>
  <si>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</si>
  <si>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</si>
  <si>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</si>
  <si>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</si>
  <si>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</si>
  <si>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</si>
  <si>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</si>
  <si>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</si>
  <si>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</si>
  <si>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</si>
  <si>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</si>
  <si>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</si>
  <si>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</si>
  <si>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</si>
  <si>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</si>
  <si>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</si>
  <si>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</si>
  <si>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</si>
  <si>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</si>
  <si>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</si>
  <si>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</si>
  <si>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</si>
  <si>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</si>
  <si>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</si>
  <si>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</si>
  <si>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</si>
  <si>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</si>
  <si>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</si>
  <si>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</si>
  <si>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</si>
  <si>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</si>
  <si>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</si>
  <si>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</si>
  <si>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</si>
  <si>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</si>
  <si>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</si>
  <si>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</si>
  <si>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</si>
  <si>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</si>
  <si>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</si>
  <si>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</si>
  <si>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</si>
  <si>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</si>
  <si>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</si>
  <si>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</si>
  <si>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</si>
  <si>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</si>
  <si>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</si>
  <si>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</si>
  <si>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</si>
  <si>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</si>
  <si>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</si>
  <si>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</si>
  <si>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</si>
  <si>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</si>
  <si>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</si>
  <si>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</si>
  <si>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</si>
  <si>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</si>
  <si>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</si>
  <si>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</si>
  <si>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</si>
  <si>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</si>
  <si>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</si>
  <si>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</si>
  <si>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</si>
  <si>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</si>
  <si>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</si>
  <si>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</si>
  <si>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</si>
  <si>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</si>
  <si>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</si>
  <si>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</si>
  <si>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</si>
  <si>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</si>
  <si>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</si>
  <si>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</si>
  <si>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</si>
  <si>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</si>
  <si>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</si>
  <si>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</si>
  <si>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</si>
  <si>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</si>
  <si>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</si>
  <si>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</si>
  <si>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</si>
  <si>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</si>
  <si>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</si>
  <si>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</si>
  <si>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</si>
  <si>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</si>
  <si>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</si>
  <si>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</si>
  <si>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</si>
  <si>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</si>
  <si>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</si>
  <si>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</si>
  <si>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</si>
  <si>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</si>
  <si>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</si>
  <si>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</si>
  <si>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</si>
  <si>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</si>
  <si>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</si>
  <si>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</si>
  <si>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</si>
  <si>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</si>
  <si>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</si>
  <si>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</si>
  <si>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</si>
  <si>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</si>
  <si>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</si>
  <si>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</si>
  <si>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</si>
  <si>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</si>
  <si>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</si>
  <si>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</si>
  <si>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</si>
  <si>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</si>
  <si>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</si>
  <si>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</si>
  <si>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</si>
  <si>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</si>
  <si>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</si>
  <si>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</si>
  <si>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</si>
  <si>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</si>
  <si>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</si>
  <si>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</si>
  <si>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</si>
  <si>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</si>
  <si>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</si>
  <si>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</si>
  <si>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</si>
  <si>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</si>
  <si>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</si>
  <si>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</si>
  <si>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</si>
  <si>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</si>
  <si>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</si>
  <si>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</si>
  <si>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</si>
  <si>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</si>
  <si>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</si>
  <si>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</si>
  <si>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</si>
  <si>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</si>
  <si>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</si>
  <si>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</si>
  <si>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</si>
  <si>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</si>
  <si>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</si>
  <si>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</si>
  <si>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</si>
  <si>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</si>
  <si>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</si>
  <si>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</si>
  <si>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</si>
  <si>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</si>
  <si>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</si>
  <si>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</si>
  <si>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</si>
  <si>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</si>
  <si>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</si>
  <si>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</si>
  <si>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</si>
  <si>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</si>
  <si>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</si>
  <si>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</si>
  <si>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</si>
  <si>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</si>
  <si>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</si>
  <si>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</si>
  <si>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</si>
  <si>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</si>
  <si>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</si>
  <si>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</si>
  <si>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</si>
  <si>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</si>
  <si>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</si>
  <si>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</si>
  <si>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</si>
  <si>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</si>
  <si>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</si>
  <si>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</si>
  <si>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</si>
  <si>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</si>
  <si>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</si>
  <si>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</si>
  <si>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</si>
  <si>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</si>
  <si>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</si>
  <si>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</si>
  <si>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</si>
  <si>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</si>
  <si>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</si>
  <si>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</si>
  <si>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</si>
  <si>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</si>
  <si>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</si>
  <si>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</si>
  <si>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</si>
  <si>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</si>
  <si>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</si>
  <si>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</si>
  <si>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</si>
  <si>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</si>
  <si>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</si>
  <si>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</si>
  <si>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</si>
  <si>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</si>
  <si>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</si>
  <si>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</si>
  <si>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</si>
  <si>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</si>
  <si>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</si>
  <si>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</si>
  <si>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</si>
  <si>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</si>
  <si>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</si>
  <si>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</si>
  <si>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</si>
  <si>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</si>
  <si>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</si>
  <si>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</si>
  <si>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</si>
  <si>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</si>
  <si>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</si>
  <si>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</si>
  <si>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</si>
  <si>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</si>
  <si>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</si>
  <si>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</si>
  <si>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</si>
  <si>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</si>
  <si>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</si>
  <si>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</si>
  <si>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</si>
  <si>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</si>
  <si>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</si>
  <si>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</si>
  <si>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</si>
  <si>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</si>
  <si>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</si>
  <si>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</si>
  <si>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</si>
  <si>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</si>
  <si>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</si>
  <si>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</si>
  <si>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</si>
  <si>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</si>
  <si>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</si>
  <si>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</si>
  <si>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</si>
  <si>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</si>
  <si>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</si>
  <si>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</si>
  <si>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</si>
  <si>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</si>
  <si>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</si>
  <si>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</si>
  <si>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</si>
  <si>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</si>
  <si>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</si>
  <si>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</si>
  <si>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</si>
  <si>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</si>
  <si>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</si>
  <si>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</si>
  <si>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</si>
  <si>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</si>
  <si>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</si>
  <si>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</si>
  <si>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</si>
  <si>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</si>
  <si>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</si>
  <si>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</si>
  <si>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</si>
  <si>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</si>
  <si>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</si>
  <si>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</si>
  <si>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</si>
  <si>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</si>
  <si>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</si>
  <si>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</si>
  <si>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</si>
  <si>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</si>
  <si>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</si>
  <si>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</si>
  <si>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</si>
  <si>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</si>
  <si>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</si>
  <si>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</si>
  <si>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</si>
  <si>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</si>
  <si>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</si>
  <si>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</si>
  <si>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</si>
  <si>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</si>
  <si>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</si>
  <si>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</si>
  <si>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</si>
  <si>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</si>
  <si>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</si>
  <si>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</si>
  <si>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</si>
  <si>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</si>
  <si>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</si>
  <si>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</si>
  <si>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</si>
  <si>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</si>
  <si>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</si>
  <si>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</si>
  <si>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</si>
  <si>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</si>
  <si>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</si>
  <si>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</si>
  <si>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</si>
  <si>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</si>
  <si>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</si>
  <si>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</si>
  <si>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</si>
  <si>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</si>
  <si>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</si>
  <si>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</si>
  <si>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</si>
  <si>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</si>
  <si>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</si>
  <si>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</si>
  <si>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</si>
  <si>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</si>
  <si>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</si>
  <si>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</si>
  <si>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</si>
  <si>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</si>
  <si>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</si>
  <si>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</si>
  <si>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</si>
  <si>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</si>
  <si>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</si>
  <si>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</si>
  <si>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</si>
  <si>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</si>
  <si>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</si>
  <si>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</si>
  <si>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</si>
  <si>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</si>
  <si>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</si>
  <si>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</si>
  <si>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</si>
  <si>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</si>
  <si>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</si>
  <si>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</si>
  <si>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</si>
  <si>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</si>
  <si>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</si>
  <si>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</si>
  <si>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</si>
  <si>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</si>
  <si>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</si>
  <si>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</si>
  <si>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</si>
  <si>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</si>
  <si>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</si>
  <si>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</si>
  <si>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</si>
  <si>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</si>
  <si>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</si>
  <si>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</si>
  <si>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</si>
  <si>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</si>
  <si>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</si>
  <si>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</si>
  <si>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</si>
  <si>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</si>
  <si>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</si>
  <si>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</si>
  <si>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</si>
  <si>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</si>
  <si>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</si>
  <si>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</si>
  <si>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</si>
  <si>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</si>
  <si>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</si>
  <si>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</si>
  <si>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</si>
  <si>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</si>
  <si>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</si>
  <si>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</si>
  <si>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</si>
  <si>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</si>
  <si>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</si>
  <si>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</si>
  <si>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</si>
  <si>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</si>
  <si>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</si>
  <si>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</si>
  <si>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</si>
  <si>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</si>
  <si>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</si>
  <si>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</si>
  <si>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</si>
  <si>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</si>
  <si>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</si>
  <si>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</si>
  <si>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</si>
  <si>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</si>
  <si>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</si>
  <si>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</si>
  <si>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</si>
  <si>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</si>
  <si>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</si>
  <si>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</si>
  <si>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</si>
  <si>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</si>
  <si>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</si>
  <si>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</si>
  <si>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</si>
  <si>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</si>
  <si>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</si>
  <si>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</si>
  <si>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</si>
  <si>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</si>
  <si>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</si>
  <si>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</si>
  <si>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</si>
  <si>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</si>
  <si>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</si>
  <si>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</si>
  <si>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</si>
  <si>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</si>
  <si>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</si>
  <si>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</si>
  <si>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</si>
  <si>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</si>
  <si>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</si>
  <si>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</si>
  <si>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</si>
  <si>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</si>
  <si>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</si>
  <si>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</si>
  <si>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</si>
  <si>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</si>
  <si>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</si>
  <si>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</si>
  <si>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</si>
  <si>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</si>
  <si>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</si>
  <si>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</si>
  <si>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</si>
  <si>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</si>
  <si>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</si>
  <si>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</si>
  <si>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</si>
  <si>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</si>
  <si>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</si>
  <si>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</si>
  <si>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</si>
  <si>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</si>
  <si>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</si>
  <si>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</si>
  <si>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</si>
  <si>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</si>
  <si>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</si>
  <si>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</si>
  <si>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</si>
  <si>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</si>
  <si>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</si>
  <si>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</si>
  <si>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</si>
  <si>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</si>
  <si>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</si>
  <si>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</si>
  <si>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</si>
  <si>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</si>
  <si>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</si>
  <si>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</si>
  <si>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</si>
  <si>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</si>
  <si>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</si>
  <si>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</si>
  <si>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</si>
  <si>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</si>
  <si>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</si>
  <si>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</si>
  <si>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</si>
  <si>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</si>
  <si>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</si>
  <si>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</si>
  <si>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</si>
  <si>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</si>
  <si>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</si>
  <si>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</si>
  <si>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</si>
  <si>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</si>
  <si>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</si>
  <si>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</si>
  <si>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</si>
  <si>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</si>
  <si>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</si>
  <si>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</si>
  <si>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</si>
  <si>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</si>
  <si>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</si>
  <si>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</si>
  <si>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</si>
  <si>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</si>
  <si>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</si>
  <si>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</si>
  <si>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</si>
  <si>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</si>
  <si>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</si>
  <si>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</si>
  <si>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</si>
  <si>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</si>
  <si>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</si>
  <si>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</si>
  <si>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</si>
  <si>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</si>
  <si>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</si>
  <si>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</si>
  <si>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</si>
  <si>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</si>
  <si>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</si>
  <si>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</si>
  <si>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</si>
  <si>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</si>
  <si>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</si>
  <si>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</si>
  <si>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</si>
  <si>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</si>
  <si>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</si>
  <si>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</si>
  <si>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</si>
  <si>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</si>
  <si>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</si>
  <si>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</si>
  <si>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</si>
  <si>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</si>
  <si>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</si>
  <si>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</si>
  <si>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</si>
  <si>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</si>
  <si>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</si>
  <si>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</si>
  <si>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</si>
  <si>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</si>
  <si>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</si>
  <si>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</si>
  <si>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</si>
  <si>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</si>
  <si>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</si>
  <si>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</si>
  <si>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</si>
  <si>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</si>
  <si>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</si>
  <si>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</si>
  <si>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</si>
  <si>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</si>
  <si>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</si>
  <si>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</si>
  <si>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</si>
  <si>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</si>
  <si>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</si>
  <si>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</si>
  <si>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</si>
  <si>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</si>
  <si>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</si>
  <si>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</si>
  <si>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</si>
  <si>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</si>
  <si>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</si>
  <si>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</si>
  <si>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</si>
  <si>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</si>
  <si>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</si>
  <si>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</si>
  <si>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</si>
  <si>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</si>
  <si>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</si>
  <si>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</si>
  <si>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</si>
  <si>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</si>
  <si>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</si>
  <si>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</si>
  <si>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</si>
  <si>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</si>
  <si>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</si>
  <si>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</si>
  <si>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</si>
  <si>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</si>
  <si>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</si>
  <si>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</si>
  <si>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</si>
  <si>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</si>
  <si>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</si>
  <si>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</si>
  <si>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</si>
  <si>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</si>
  <si>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</si>
  <si>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</si>
  <si>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</si>
  <si>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</si>
  <si>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</si>
  <si>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</si>
  <si>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</si>
  <si>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</si>
  <si>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</si>
  <si>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</si>
  <si>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</si>
  <si>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</si>
  <si>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</si>
  <si>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</si>
  <si>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</si>
  <si>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</si>
  <si>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</si>
  <si>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</si>
  <si>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</si>
  <si>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</si>
  <si>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</si>
  <si>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</si>
  <si>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</si>
  <si>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</si>
  <si>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</si>
  <si>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</si>
  <si>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</si>
  <si>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</si>
  <si>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</si>
  <si>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</si>
  <si>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</si>
  <si>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</si>
  <si>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</si>
  <si>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</si>
  <si>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</si>
  <si>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</si>
  <si>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</si>
  <si>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</si>
  <si>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</si>
  <si>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</si>
  <si>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</si>
  <si>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</si>
  <si>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</si>
  <si>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</si>
  <si>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</si>
  <si>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</si>
  <si>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</si>
  <si>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</si>
  <si>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</si>
  <si>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</si>
  <si>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</si>
  <si>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</si>
  <si>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</si>
  <si>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</si>
  <si>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</si>
  <si>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</si>
  <si>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</si>
  <si>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</si>
  <si>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</si>
  <si>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</si>
  <si>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</si>
  <si>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</si>
  <si>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</si>
  <si>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</si>
  <si>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</si>
  <si>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</si>
  <si>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</si>
  <si>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</si>
  <si>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</si>
  <si>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</si>
  <si>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</si>
  <si>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</si>
  <si>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</si>
  <si>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</si>
  <si>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</si>
  <si>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</si>
  <si>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</si>
  <si>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</si>
  <si>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</si>
  <si>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</si>
  <si>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</si>
  <si>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</si>
  <si>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</si>
  <si>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</si>
  <si>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</si>
  <si>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</si>
  <si>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</si>
  <si>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</si>
  <si>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</si>
  <si>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</si>
  <si>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</si>
  <si>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</si>
  <si>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</si>
  <si>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</si>
  <si>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</si>
  <si>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</si>
  <si>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</si>
  <si>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</si>
  <si>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</si>
  <si>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</si>
  <si>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</si>
  <si>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</si>
  <si>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</si>
  <si>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</si>
  <si>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</si>
  <si>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</si>
  <si>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</si>
  <si>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</si>
  <si>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</si>
  <si>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</si>
  <si>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</si>
  <si>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</si>
  <si>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</si>
  <si>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</si>
  <si>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</si>
  <si>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</si>
  <si>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</si>
  <si>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</si>
  <si>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</si>
  <si>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</si>
  <si>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</si>
  <si>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</si>
  <si>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</si>
  <si>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</si>
  <si>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</si>
  <si>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</si>
  <si>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</si>
  <si>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</si>
  <si>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</si>
  <si>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</si>
  <si>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</si>
  <si>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</si>
  <si>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</si>
  <si>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</si>
  <si>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</si>
  <si>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</si>
  <si>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</si>
  <si>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</si>
  <si>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</si>
  <si>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</si>
  <si>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</si>
  <si>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</si>
  <si>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</si>
  <si>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</si>
  <si>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</si>
  <si>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</si>
  <si>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</si>
  <si>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</si>
  <si>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</si>
  <si>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</si>
  <si>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</si>
  <si>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</si>
  <si>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</si>
  <si>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</si>
  <si>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</si>
  <si>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</si>
  <si>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</si>
  <si>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</si>
  <si>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</si>
  <si>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</si>
  <si>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</si>
  <si>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</si>
  <si>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</si>
  <si>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</si>
  <si>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</si>
  <si>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</si>
  <si>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</si>
  <si>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</si>
  <si>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</si>
  <si>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</si>
  <si>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</si>
  <si>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</si>
  <si>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</si>
  <si>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</si>
  <si>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</si>
  <si>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</si>
  <si>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</si>
  <si>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</si>
  <si>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</si>
  <si>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</si>
  <si>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</si>
  <si>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</si>
  <si>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</si>
  <si>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</si>
  <si>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</si>
  <si>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</si>
  <si>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</si>
  <si>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</si>
  <si>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</si>
  <si>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</si>
  <si>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</si>
  <si>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</si>
  <si>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</si>
  <si>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</si>
  <si>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</si>
  <si>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</si>
  <si>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</si>
  <si>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</si>
  <si>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</si>
  <si>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</si>
  <si>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</si>
  <si>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</si>
  <si>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</si>
  <si>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</si>
  <si>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</si>
  <si>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</si>
  <si>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</si>
  <si>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</si>
  <si>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</si>
  <si>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</si>
  <si>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</si>
  <si>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</si>
  <si>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</si>
  <si>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</si>
  <si>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</si>
  <si>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</si>
  <si>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</si>
  <si>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</si>
  <si>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</si>
  <si>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</si>
  <si>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</si>
  <si>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</si>
  <si>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</si>
  <si>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</si>
  <si>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</si>
  <si>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</si>
  <si>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</si>
  <si>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</si>
  <si>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</si>
  <si>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</si>
  <si>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</si>
  <si>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</si>
  <si>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</si>
  <si>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</si>
  <si>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</si>
  <si>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</si>
  <si>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</si>
  <si>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</si>
  <si>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</si>
  <si>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</si>
  <si>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</si>
  <si>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</si>
  <si>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</si>
  <si>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</si>
  <si>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</si>
  <si>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</si>
  <si>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</si>
  <si>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</si>
  <si>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</si>
  <si>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</si>
  <si>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</si>
  <si>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</si>
  <si>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</si>
  <si>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</si>
  <si>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</si>
  <si>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</si>
  <si>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</si>
  <si>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</si>
  <si>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</si>
  <si>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</si>
  <si>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</si>
  <si>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</si>
  <si>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</si>
  <si>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</si>
  <si>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</si>
  <si>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</si>
  <si>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</si>
  <si>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</si>
  <si>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</si>
  <si>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</si>
  <si>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</si>
  <si>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</si>
  <si>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</si>
  <si>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</si>
  <si>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</si>
  <si>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</si>
  <si>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</si>
  <si>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</si>
  <si>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</si>
  <si>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</si>
  <si>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</si>
  <si>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</si>
  <si>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</si>
  <si>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</si>
  <si>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</si>
  <si>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</si>
  <si>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</si>
  <si>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</si>
  <si>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</si>
  <si>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</si>
  <si>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</si>
  <si>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</si>
  <si>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</si>
  <si>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</si>
  <si>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</si>
  <si>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</si>
  <si>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</si>
  <si>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</si>
  <si>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</si>
  <si>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</si>
  <si>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</si>
  <si>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</si>
  <si>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</si>
  <si>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</si>
  <si>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</si>
  <si>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</si>
  <si>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</si>
  <si>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</si>
  <si>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</si>
  <si>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</si>
  <si>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</si>
  <si>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</si>
  <si>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</si>
  <si>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</si>
  <si>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</si>
  <si>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</si>
  <si>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</si>
  <si>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</si>
  <si>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</si>
  <si>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</si>
  <si>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</si>
  <si>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</si>
  <si>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</si>
  <si>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</si>
  <si>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</si>
  <si>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</si>
  <si>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</si>
  <si>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</si>
  <si>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</si>
  <si>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</si>
  <si>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</si>
  <si>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</si>
  <si>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</si>
  <si>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</si>
  <si>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</si>
  <si>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</si>
  <si>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</si>
  <si>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</si>
  <si>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</si>
  <si>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</si>
  <si>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</si>
  <si>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</si>
  <si>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</si>
  <si>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</si>
  <si>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</si>
  <si>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</si>
  <si>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</si>
  <si>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</si>
  <si>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</si>
  <si>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</si>
  <si>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</si>
  <si>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</si>
  <si>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</si>
  <si>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</si>
  <si>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</si>
  <si>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</si>
  <si>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</si>
  <si>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</si>
  <si>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</si>
  <si>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</si>
  <si>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</si>
  <si>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</si>
  <si>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</si>
  <si>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</si>
  <si>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</si>
  <si>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</si>
  <si>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</si>
  <si>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</si>
  <si>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</si>
  <si>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</si>
  <si>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</si>
  <si>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</si>
  <si>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</si>
  <si>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</si>
  <si>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</si>
  <si>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</si>
  <si>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</si>
  <si>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</si>
  <si>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</si>
  <si>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</si>
  <si>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</si>
  <si>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</si>
  <si>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</si>
  <si>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</si>
  <si>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</si>
  <si>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</si>
  <si>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</si>
  <si>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</si>
  <si>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</si>
  <si>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</si>
  <si>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</si>
  <si>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</si>
  <si>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</si>
  <si>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</si>
  <si>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</si>
  <si>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</si>
  <si>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</si>
  <si>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</si>
  <si>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</si>
  <si>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</si>
  <si>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</si>
  <si>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</si>
  <si>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</si>
  <si>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</si>
  <si>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</si>
  <si>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</si>
  <si>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</si>
  <si>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</si>
  <si>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</si>
  <si>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</si>
  <si>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</si>
  <si>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</si>
  <si>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</si>
  <si>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</si>
  <si>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</si>
  <si>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</si>
  <si>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</si>
  <si>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</si>
  <si>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</si>
  <si>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</si>
  <si>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</si>
  <si>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</si>
  <si>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</si>
  <si>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</si>
  <si>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</si>
  <si>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</si>
  <si>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</si>
  <si>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</si>
  <si>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</si>
  <si>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</si>
  <si>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</si>
  <si>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</si>
  <si>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</si>
  <si>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</si>
  <si>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</si>
  <si>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</si>
  <si>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</si>
  <si>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</si>
  <si>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</si>
  <si>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</si>
  <si>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</si>
  <si>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</si>
  <si>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</si>
  <si>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</si>
  <si>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</si>
  <si>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</si>
  <si>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</si>
  <si>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</si>
  <si>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</si>
  <si>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</si>
  <si>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</si>
  <si>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</si>
  <si>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</si>
  <si>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</si>
  <si>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</si>
  <si>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</si>
  <si>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</si>
  <si>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</si>
  <si>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</si>
  <si>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</si>
  <si>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</si>
  <si>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</si>
  <si>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</si>
  <si>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</si>
  <si>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</si>
  <si>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</si>
  <si>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</si>
  <si>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</si>
  <si>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</si>
  <si>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</si>
  <si>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</si>
  <si>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</si>
  <si>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</si>
  <si>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</si>
  <si>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</si>
  <si>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</si>
  <si>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</si>
  <si>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</si>
  <si>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</si>
  <si>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</si>
  <si>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</si>
  <si>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</si>
  <si>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</si>
  <si>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</si>
  <si>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</si>
  <si>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</si>
  <si>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</si>
  <si>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</si>
  <si>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</si>
  <si>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</si>
  <si>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</si>
  <si>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</si>
  <si>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</si>
  <si>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</si>
  <si>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</si>
  <si>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</si>
  <si>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</si>
  <si>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</si>
  <si>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</si>
  <si>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</si>
  <si>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</si>
  <si>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</si>
  <si>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</si>
  <si>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</si>
  <si>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</si>
  <si>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</si>
  <si>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</si>
  <si>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</si>
  <si>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</si>
  <si>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</si>
  <si>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</si>
  <si>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</si>
  <si>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</si>
  <si>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</si>
  <si>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</si>
  <si>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</si>
  <si>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</si>
  <si>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</si>
  <si>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</si>
  <si>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</si>
  <si>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</si>
  <si>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</si>
  <si>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</si>
  <si>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</si>
  <si>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</si>
  <si>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</si>
  <si>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</si>
  <si>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</si>
  <si>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</si>
  <si>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</si>
  <si>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</si>
  <si>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</si>
  <si>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</si>
  <si>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</si>
  <si>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</si>
  <si>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</si>
  <si>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</si>
  <si>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</si>
  <si>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</si>
  <si>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</si>
  <si>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</si>
  <si>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</si>
  <si>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</si>
  <si>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</si>
  <si>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</si>
  <si>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</si>
  <si>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</si>
  <si>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</si>
  <si>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</si>
  <si>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</si>
  <si>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</si>
  <si>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</si>
  <si>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</si>
  <si>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</si>
  <si>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</si>
  <si>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</si>
  <si>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</si>
  <si>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</si>
  <si>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</si>
  <si>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</si>
  <si>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</si>
  <si>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</si>
  <si>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</si>
  <si>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</si>
  <si>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</si>
  <si>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</si>
  <si>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</si>
  <si>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</si>
  <si>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</si>
  <si>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</si>
  <si>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</si>
  <si>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</si>
  <si>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</si>
  <si>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</si>
  <si>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</si>
  <si>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</si>
  <si>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</si>
  <si>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</si>
  <si>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</si>
  <si>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</si>
  <si>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</si>
  <si>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</si>
  <si>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</si>
  <si>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</si>
  <si>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</si>
  <si>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</si>
  <si>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</si>
  <si>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</si>
  <si>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</si>
  <si>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</si>
  <si>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</si>
  <si>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</si>
  <si>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</si>
  <si>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</si>
  <si>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</si>
  <si>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</si>
  <si>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</si>
  <si>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</si>
  <si>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</si>
  <si>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</si>
  <si>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</si>
  <si>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</si>
  <si>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</si>
  <si>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</si>
  <si>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</si>
  <si>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</si>
  <si>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</si>
  <si>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</si>
  <si>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</si>
  <si>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</si>
  <si>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</si>
  <si>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</si>
  <si>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</si>
  <si>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</si>
  <si>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</si>
  <si>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</si>
  <si>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</si>
  <si>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</si>
  <si>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</si>
  <si>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</si>
  <si>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</si>
  <si>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</si>
  <si>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</si>
  <si>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</si>
  <si>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</si>
  <si>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</si>
  <si>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</si>
  <si>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</si>
  <si>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</si>
  <si>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</si>
  <si>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</si>
  <si>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</si>
  <si>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</si>
  <si>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</si>
  <si>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</si>
  <si>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</si>
  <si>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</si>
  <si>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</si>
  <si>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</si>
  <si>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</si>
  <si>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</si>
  <si>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</si>
  <si>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</si>
  <si>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</si>
  <si>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</si>
  <si>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</si>
  <si>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</si>
  <si>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</si>
  <si>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</si>
  <si>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</si>
  <si>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</si>
  <si>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</si>
  <si>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</si>
  <si>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</si>
  <si>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</si>
  <si>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</si>
  <si>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</si>
  <si>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</si>
  <si>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</si>
  <si>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</si>
  <si>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</si>
  <si>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</si>
  <si>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</si>
  <si>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</si>
  <si>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</si>
  <si>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</si>
  <si>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</si>
  <si>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</si>
  <si>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</si>
  <si>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</si>
  <si>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</si>
  <si>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</si>
  <si>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</si>
  <si>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</si>
  <si>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</si>
  <si>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</si>
  <si>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</si>
  <si>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</si>
  <si>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</si>
  <si>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</si>
  <si>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</si>
  <si>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</si>
  <si>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</si>
  <si>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</si>
  <si>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</si>
  <si>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</si>
  <si>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</si>
  <si>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</si>
  <si>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</si>
  <si>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</si>
  <si>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</si>
  <si>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</si>
  <si>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</si>
  <si>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</si>
  <si>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</si>
  <si>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</si>
  <si>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</si>
  <si>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</si>
  <si>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</si>
  <si>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</si>
  <si>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</si>
  <si>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</si>
  <si>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</si>
  <si>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</si>
  <si>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</si>
  <si>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</si>
  <si>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</si>
  <si>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</si>
  <si>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</si>
  <si>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</si>
  <si>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</si>
  <si>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</si>
  <si>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</si>
  <si>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</si>
  <si>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</si>
  <si>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</si>
  <si>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</si>
  <si>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</si>
  <si>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</si>
  <si>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</si>
  <si>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</si>
  <si>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</si>
  <si>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</si>
  <si>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</si>
  <si>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</si>
  <si>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</si>
  <si>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</si>
  <si>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</si>
  <si>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</si>
  <si>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</si>
  <si>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</si>
  <si>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</si>
  <si>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</si>
  <si>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</si>
  <si>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</si>
  <si>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</si>
  <si>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</si>
  <si>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</si>
  <si>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</si>
  <si>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</si>
  <si>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</si>
  <si>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</si>
  <si>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</si>
  <si>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</si>
  <si>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</si>
  <si>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</si>
  <si>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</si>
  <si>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</si>
  <si>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</si>
  <si>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</si>
  <si>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</si>
  <si>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</si>
  <si>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</si>
  <si>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</si>
  <si>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</si>
  <si>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</si>
  <si>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</si>
  <si>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</si>
  <si>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</si>
  <si>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</si>
  <si>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</si>
  <si>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</si>
  <si>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</si>
  <si>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</si>
  <si>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</si>
  <si>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</si>
  <si>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</si>
  <si>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</si>
  <si>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</si>
  <si>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</si>
  <si>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</si>
  <si>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</si>
  <si>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</si>
  <si>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</si>
  <si>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</si>
  <si>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</si>
  <si>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</si>
  <si>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</si>
  <si>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</si>
  <si>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</si>
  <si>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</si>
  <si>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</si>
  <si>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</si>
  <si>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</si>
  <si>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</si>
  <si>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</si>
  <si>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</si>
  <si>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</si>
  <si>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</si>
  <si>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</si>
  <si>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</si>
  <si>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</si>
  <si>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</si>
  <si>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</si>
  <si>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</si>
  <si>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</si>
  <si>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</si>
  <si>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</si>
  <si>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</si>
  <si>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</si>
  <si>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</si>
  <si>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</si>
  <si>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</si>
  <si>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</si>
  <si>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</si>
  <si>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</si>
  <si>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</si>
  <si>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</si>
  <si>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</si>
  <si>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</si>
  <si>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</si>
  <si>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</si>
  <si>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</si>
  <si>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</si>
  <si>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</si>
  <si>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</si>
  <si>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</si>
  <si>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</si>
  <si>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</si>
  <si>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</si>
  <si>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</si>
  <si>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</si>
  <si>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</si>
  <si>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</si>
  <si>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</si>
  <si>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</si>
  <si>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</si>
  <si>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</si>
  <si>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</si>
  <si>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</si>
  <si>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</si>
  <si>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</si>
  <si>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</si>
  <si>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</si>
  <si>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</si>
  <si>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</si>
  <si>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</si>
  <si>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</si>
  <si>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</si>
  <si>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</si>
  <si>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</si>
  <si>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</si>
  <si>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</si>
  <si>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</si>
  <si>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</si>
  <si>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</si>
  <si>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</si>
  <si>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</si>
  <si>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</si>
  <si>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</si>
  <si>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</si>
  <si>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</si>
  <si>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</si>
  <si>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</si>
  <si>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</si>
  <si>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</si>
  <si>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</si>
  <si>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</si>
  <si>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</si>
  <si>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</si>
  <si>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</si>
  <si>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</si>
  <si>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</si>
  <si>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</si>
  <si>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</si>
  <si>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</si>
  <si>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</si>
  <si>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</si>
  <si>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</si>
  <si>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</si>
  <si>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</si>
  <si>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</si>
  <si>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</si>
  <si>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</si>
  <si>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</si>
  <si>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</si>
  <si>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</si>
  <si>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</si>
  <si>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</si>
  <si>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</si>
  <si>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</si>
  <si>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</si>
  <si>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</si>
  <si>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</si>
  <si>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</si>
  <si>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</si>
  <si>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</si>
  <si>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</si>
  <si>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</si>
  <si>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</si>
  <si>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</si>
  <si>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</si>
  <si>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</si>
  <si>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</si>
  <si>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</si>
  <si>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</si>
  <si>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</si>
  <si>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</si>
  <si>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</si>
  <si>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</si>
  <si>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</si>
  <si>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</si>
  <si>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</si>
  <si>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</si>
  <si>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</si>
  <si>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</si>
  <si>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</si>
  <si>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</si>
  <si>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</si>
  <si>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</si>
  <si>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</si>
  <si>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</si>
  <si>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</si>
  <si>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</si>
  <si>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</si>
  <si>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</si>
  <si>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</si>
  <si>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</si>
  <si>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</si>
  <si>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</si>
  <si>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</si>
  <si>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</si>
  <si>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</si>
  <si>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</si>
  <si>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</si>
  <si>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</si>
  <si>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</si>
  <si>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</si>
  <si>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</si>
  <si>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</si>
  <si>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</si>
  <si>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</si>
  <si>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</si>
  <si>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</si>
  <si>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</si>
  <si>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</si>
  <si>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</si>
  <si>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</si>
  <si>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</si>
  <si>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</si>
  <si>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</si>
  <si>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</si>
  <si>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</si>
  <si>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</si>
  <si>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</si>
  <si>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</si>
  <si>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</si>
  <si>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</si>
  <si>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</si>
  <si>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</si>
  <si>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</si>
  <si>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</si>
  <si>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</si>
  <si>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</si>
  <si>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</si>
  <si>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</si>
  <si>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</si>
  <si>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</si>
  <si>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</si>
  <si>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</si>
  <si>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</si>
  <si>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</si>
  <si>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</si>
  <si>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</si>
  <si>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</si>
  <si>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</si>
  <si>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</si>
  <si>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</si>
  <si>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</si>
  <si>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</si>
  <si>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</si>
  <si>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</si>
  <si>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</si>
  <si>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</si>
  <si>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</si>
  <si>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</si>
  <si>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</si>
  <si>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</si>
  <si>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</si>
  <si>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</si>
  <si>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</si>
  <si>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</si>
  <si>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</si>
  <si>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</si>
  <si>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</si>
  <si>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</si>
  <si>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</si>
  <si>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</si>
  <si>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</si>
  <si>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</si>
  <si>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</si>
  <si>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</si>
  <si>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</si>
  <si>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</si>
  <si>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</si>
  <si>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</si>
  <si>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</si>
  <si>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</si>
  <si>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</si>
  <si>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</si>
  <si>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</si>
  <si>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</si>
  <si>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</si>
  <si>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</si>
  <si>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</si>
  <si>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</si>
  <si>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</si>
  <si>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</si>
  <si>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</si>
  <si>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</si>
  <si>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</si>
  <si>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</si>
  <si>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</si>
  <si>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</si>
  <si>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</si>
  <si>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</si>
  <si>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</si>
  <si>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</si>
  <si>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</si>
  <si>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</si>
  <si>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</si>
  <si>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</si>
  <si>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</si>
  <si>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</si>
  <si>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</si>
  <si>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</si>
  <si>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</si>
  <si>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</si>
  <si>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</si>
  <si>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</si>
  <si>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</si>
  <si>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</si>
  <si>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</si>
  <si>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</si>
  <si>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</si>
  <si>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</si>
  <si>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</si>
  <si>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</si>
  <si>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</si>
  <si>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</si>
  <si>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</si>
  <si>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</si>
  <si>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</si>
  <si>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</si>
  <si>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</si>
  <si>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</si>
  <si>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</si>
  <si>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</si>
  <si>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</si>
  <si>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</si>
  <si>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</si>
  <si>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</si>
  <si>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</si>
  <si>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</si>
  <si>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</si>
  <si>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</si>
  <si>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</si>
  <si>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</si>
  <si>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</si>
  <si>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</si>
  <si>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</si>
  <si>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</si>
  <si>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</si>
  <si>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</si>
  <si>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</si>
  <si>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</si>
  <si>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</si>
  <si>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</si>
  <si>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</si>
  <si>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</si>
  <si>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</si>
  <si>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</si>
  <si>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</si>
  <si>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</si>
  <si>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</si>
  <si>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</si>
  <si>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</si>
  <si>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</si>
  <si>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</si>
  <si>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</si>
  <si>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</si>
  <si>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</si>
  <si>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</si>
  <si>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</si>
  <si>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</si>
  <si>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</si>
  <si>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</si>
  <si>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</si>
  <si>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</si>
  <si>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</si>
  <si>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</si>
  <si>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</si>
  <si>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</si>
  <si>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</si>
  <si>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</si>
  <si>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</si>
  <si>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</si>
  <si>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</si>
  <si>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</si>
  <si>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</si>
  <si>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</si>
  <si>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</si>
  <si>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</si>
  <si>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</si>
  <si>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</si>
  <si>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</si>
  <si>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</si>
  <si>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</si>
  <si>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</si>
  <si>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</si>
  <si>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</si>
  <si>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</si>
  <si>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</si>
  <si>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</si>
  <si>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</si>
  <si>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</si>
  <si>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</si>
  <si>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</si>
  <si>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</si>
  <si>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</si>
  <si>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</si>
  <si>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</si>
  <si>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</si>
  <si>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</si>
  <si>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</si>
  <si>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</si>
  <si>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</si>
  <si>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</si>
  <si>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</si>
  <si>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</si>
  <si>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</si>
  <si>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</si>
  <si>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</si>
  <si>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</si>
  <si>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</si>
  <si>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</si>
  <si>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</si>
  <si>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</si>
  <si>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</si>
  <si>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</si>
  <si>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</si>
  <si>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</si>
  <si>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</si>
  <si>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</si>
  <si>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</si>
  <si>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</si>
  <si>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</si>
  <si>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</si>
  <si>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</si>
  <si>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</si>
  <si>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</si>
  <si>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</si>
  <si>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</si>
  <si>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</si>
  <si>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</si>
  <si>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</si>
  <si>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</si>
  <si>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</si>
  <si>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</si>
  <si>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</si>
  <si>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</si>
  <si>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</si>
  <si>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</si>
  <si>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</si>
  <si>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</si>
  <si>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</si>
  <si>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</si>
  <si>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</si>
  <si>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</si>
  <si>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</si>
  <si>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</si>
  <si>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</si>
  <si>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</si>
  <si>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</si>
  <si>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</si>
  <si>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</si>
  <si>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</si>
  <si>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</si>
  <si>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</si>
  <si>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</si>
  <si>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</si>
  <si>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</si>
  <si>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</si>
  <si>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</si>
  <si>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</si>
  <si>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</si>
  <si>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</si>
  <si>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</si>
  <si>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</si>
  <si>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</si>
  <si>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</si>
  <si>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</si>
  <si>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</si>
  <si>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</si>
  <si>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</si>
  <si>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</si>
  <si>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</si>
  <si>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</si>
  <si>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</si>
  <si>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</si>
  <si>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</si>
  <si>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</si>
  <si>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</si>
  <si>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</si>
  <si>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</si>
  <si>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</si>
  <si>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</si>
  <si>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</si>
  <si>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</si>
  <si>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</si>
  <si>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</si>
  <si>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</si>
  <si>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</si>
  <si>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</si>
  <si>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</si>
  <si>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</si>
  <si>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</si>
  <si>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</si>
  <si>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</si>
  <si>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</si>
  <si>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</si>
  <si>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</si>
  <si>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</si>
  <si>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</si>
  <si>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</si>
  <si>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</si>
  <si>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</si>
  <si>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</si>
  <si>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</si>
  <si>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</si>
  <si>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</si>
  <si>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</si>
  <si>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</si>
  <si>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</si>
  <si>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</si>
  <si>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</si>
  <si>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</si>
  <si>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</si>
  <si>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</si>
  <si>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</si>
  <si>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</si>
  <si>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</si>
  <si>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</si>
  <si>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</si>
  <si>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</si>
  <si>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</si>
  <si>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</si>
  <si>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</si>
  <si>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</si>
  <si>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</si>
  <si>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</si>
  <si>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</si>
  <si>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</si>
  <si>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</si>
  <si>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</si>
  <si>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</si>
  <si>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</si>
  <si>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</si>
  <si>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</si>
  <si>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</si>
  <si>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</si>
  <si>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</si>
  <si>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</si>
  <si>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</si>
  <si>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</si>
  <si>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</si>
  <si>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</si>
  <si>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</si>
  <si>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</si>
  <si>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</si>
  <si>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</si>
  <si>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</si>
  <si>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</si>
  <si>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</si>
  <si>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</si>
  <si>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</si>
  <si>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</si>
  <si>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</si>
  <si>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</si>
  <si>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</si>
  <si>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</si>
  <si>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</si>
  <si>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</si>
  <si>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</si>
  <si>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</si>
  <si>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</si>
  <si>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</si>
  <si>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</si>
  <si>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</si>
  <si>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</si>
  <si>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</si>
  <si>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</si>
  <si>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</si>
  <si>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</si>
  <si>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</si>
  <si>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</si>
  <si>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</si>
  <si>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</si>
  <si>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</si>
  <si>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</si>
  <si>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</si>
  <si>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</si>
  <si>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</si>
  <si>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</si>
  <si>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</si>
  <si>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</si>
  <si>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</si>
  <si>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</si>
  <si>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</si>
  <si>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</si>
  <si>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</si>
  <si>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</si>
  <si>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</si>
  <si>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</si>
  <si>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</si>
  <si>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</si>
  <si>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</si>
  <si>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</si>
  <si>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</si>
  <si>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</si>
  <si>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</si>
  <si>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</si>
  <si>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</si>
  <si>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</si>
  <si>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</si>
  <si>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</si>
  <si>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</si>
  <si>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</si>
  <si>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</si>
  <si>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</si>
  <si>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</si>
  <si>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</si>
  <si>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</si>
  <si>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</si>
  <si>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</si>
  <si>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</si>
  <si>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</si>
  <si>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</si>
  <si>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</si>
  <si>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</si>
  <si>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</si>
  <si>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</si>
  <si>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</si>
  <si>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</si>
  <si>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</si>
  <si>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</si>
  <si>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</si>
  <si>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</si>
  <si>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</si>
  <si>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</si>
  <si>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</si>
  <si>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</si>
  <si>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</si>
  <si>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</si>
  <si>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</si>
  <si>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</si>
  <si>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</si>
  <si>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</si>
  <si>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</si>
  <si>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</si>
  <si>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</si>
  <si>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</si>
  <si>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</si>
  <si>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</si>
  <si>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</si>
  <si>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</si>
  <si>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</si>
  <si>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</si>
  <si>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</si>
  <si>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</si>
  <si>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</si>
  <si>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</si>
  <si>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</si>
  <si>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</si>
  <si>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</si>
  <si>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</si>
  <si>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</si>
  <si>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</si>
  <si>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</si>
  <si>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</si>
  <si>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</si>
  <si>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</si>
  <si>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</si>
  <si>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</si>
  <si>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</si>
  <si>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</si>
  <si>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</si>
  <si>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</si>
  <si>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</si>
  <si>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</si>
  <si>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</si>
  <si>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</si>
  <si>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</si>
  <si>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</si>
  <si>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</si>
  <si>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</si>
  <si>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</si>
  <si>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</si>
  <si>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</si>
  <si>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</si>
  <si>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</si>
  <si>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</si>
  <si>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</si>
  <si>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</si>
  <si>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</si>
  <si>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</si>
  <si>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</si>
  <si>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</si>
  <si>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</si>
  <si>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</si>
  <si>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</si>
  <si>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</si>
  <si>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</si>
  <si>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</si>
  <si>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</si>
  <si>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</si>
  <si>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</si>
  <si>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</si>
  <si>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</si>
  <si>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</si>
  <si>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</si>
  <si>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</si>
  <si>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</si>
  <si>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</si>
  <si>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</si>
  <si>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</si>
  <si>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</si>
  <si>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</si>
  <si>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</si>
  <si>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</si>
  <si>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</si>
  <si>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</si>
  <si>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</si>
  <si>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</si>
  <si>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</si>
  <si>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</si>
  <si>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</si>
  <si>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</si>
  <si>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</si>
  <si>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</si>
  <si>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</si>
  <si>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</si>
  <si>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</si>
  <si>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</si>
  <si>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</si>
  <si>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</si>
  <si>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</si>
  <si>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</si>
  <si>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</si>
  <si>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</si>
  <si>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</si>
  <si>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</si>
  <si>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</si>
  <si>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</si>
  <si>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</si>
  <si>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</si>
  <si>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</si>
  <si>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</si>
  <si>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</si>
  <si>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</si>
  <si>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</si>
  <si>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</si>
  <si>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</si>
  <si>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</si>
  <si>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</si>
  <si>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</si>
  <si>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</si>
  <si>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</si>
  <si>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</si>
  <si>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</si>
  <si>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</si>
  <si>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</si>
  <si>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</si>
  <si>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</si>
  <si>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</si>
  <si>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</si>
  <si>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</si>
  <si>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</si>
  <si>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</si>
  <si>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</si>
  <si>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</si>
  <si>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</si>
  <si>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</si>
  <si>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</si>
  <si>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</si>
  <si>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</si>
  <si>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</si>
  <si>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</si>
  <si>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</si>
  <si>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</si>
  <si>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</si>
  <si>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</si>
  <si>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</si>
  <si>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</si>
  <si>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</si>
  <si>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</si>
  <si>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</si>
  <si>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</si>
  <si>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</si>
  <si>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</si>
  <si>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</si>
  <si>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</si>
  <si>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</si>
  <si>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</si>
  <si>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</si>
  <si>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</si>
  <si>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</si>
  <si>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</si>
  <si>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</si>
  <si>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</si>
  <si>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</si>
  <si>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</si>
  <si>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</si>
  <si>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</si>
  <si>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</si>
  <si>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</si>
  <si>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</si>
  <si>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</si>
  <si>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</si>
  <si>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</si>
  <si>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</si>
  <si>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</si>
  <si>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</si>
  <si>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</si>
  <si>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</si>
  <si>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</si>
  <si>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</si>
  <si>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</si>
  <si>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</si>
  <si>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</si>
  <si>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</si>
  <si>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</si>
  <si>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</si>
  <si>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</si>
  <si>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</si>
  <si>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</si>
  <si>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GARNER OSBORNE CIRCUITS</t>
  </si>
  <si>
    <t>John Maddocks</t>
  </si>
  <si>
    <t>john.maddocks@garnerosborne.co.uk</t>
  </si>
  <si>
    <t>RMI RMAP Approved refiner: Luna Smelter, Ltd. (CID003387)</t>
  </si>
  <si>
    <t>100%</t>
  </si>
  <si>
    <t>Quality Assurance Manager</t>
  </si>
  <si>
    <t>VAT No. GB 570 0063 81</t>
  </si>
  <si>
    <t>Unit 10, Hambridge Business Centre, Hambridge Lane, Newbury, Berkshire, RG14 5TU</t>
  </si>
  <si>
    <t>+441635582626</t>
  </si>
  <si>
    <t xml:space="preserve">GOC's supplier declares that it does business with very limited industrial mines situated in CAHRA’s. All applicable customers operating in these areas are part of international listed companies with a very strong commitment to compliance. All those companies meet all requirements of GOC's supplier's due diligence and compliance process in line with LBMA, RJC and OECD guidelines. The business in CAHRA’s does not -in any way- finance armed groups, forced labour and other human rights abuses, or support corruption and money laundering. </t>
  </si>
  <si>
    <t>See 4)</t>
  </si>
  <si>
    <t>Route des Perveuils 8</t>
  </si>
  <si>
    <t>45-51 Tai Lin Pai Road</t>
  </si>
  <si>
    <t>8 Buroh Street #01-06</t>
  </si>
  <si>
    <t>Buiding B, 48 Dongfu Road</t>
  </si>
  <si>
    <t>255 Jonh L. Dietsch Boulevard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</si>
</sst>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ohn.maddocks@garnerosborne.co.uk"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ohn.maddocks@garnerosborne.co.uk"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6776A8F-29FC-4A84-ABB0-2ABCF7E7125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C9C800E-1FE3-45F6-8603-64C23F0EB04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15801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15802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45302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15805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28" t="s">
        <v>15805</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15798</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81.75" customHeight="1">
      <c r="A46" s="41"/>
      <c r="B46" s="40" t="str">
        <f ca="1">OFFSET(L!$C$1,MATCH("Declaration"&amp;ADDRESS(ROW(),COLUMN(),4),L!$A:$A,0)-1,SL,,)&amp;P46</f>
        <v>Gold  (*)</v>
      </c>
      <c r="C46" s="10"/>
      <c r="D46" s="326" t="s">
        <v>488</v>
      </c>
      <c r="E46" s="327"/>
      <c r="F46" s="47"/>
      <c r="G46" s="328" t="s">
        <v>15804</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15799</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15799</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489</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0FC2279-2B5E-4089-BEE9-683F943352B4}"/>
    <hyperlink ref="D20" r:id="rId4" xr:uid="{94293E20-7918-4292-A3C1-7EAB99F3B6A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1125</v>
      </c>
      <c r="C5" s="186" t="s">
        <v>1035</v>
      </c>
      <c r="D5" s="230"/>
      <c r="E5" s="182" t="s">
        <v>1097</v>
      </c>
      <c r="F5" s="182" t="s">
        <v>676</v>
      </c>
      <c r="G5" s="182" t="s">
        <v>13240</v>
      </c>
      <c r="H5" s="183">
        <v>0</v>
      </c>
      <c r="I5" s="184" t="s">
        <v>1542</v>
      </c>
      <c r="J5" s="184" t="s">
        <v>1543</v>
      </c>
      <c r="K5" s="224"/>
      <c r="L5" s="224"/>
      <c r="M5" s="224"/>
      <c r="N5" s="224"/>
      <c r="O5" s="224"/>
      <c r="P5" s="185"/>
      <c r="Q5" s="225"/>
      <c r="R5" s="182" t="str">
        <f ca="1">IF(ISERROR($V5),"",OFFSET('Smelter Look-up'!$C$4,$V5-4,0)&amp;"")</f>
        <v>Heimerle + Meule GmbH</v>
      </c>
      <c r="S5" s="181" t="str">
        <f t="shared" ref="S5" ca="1" si="0">IF(B5="","",IF(ISERROR(MATCH($E5,CL,0)),"Unknown",INDIRECT("'C'!$A$"&amp;MATCH($E5,CL,0)+1)))</f>
        <v>DE</v>
      </c>
      <c r="T5" s="181" t="str">
        <f ca="1">IF(B5="","",IF(ISERROR(MATCH($J5,SorP!$B$1:$B$6279,0)),"",INDIRECT("'SorP'!$A$"&amp;MATCH($S5&amp;$J5,SorP!C:C,0))))</f>
        <v>DE-BW</v>
      </c>
      <c r="U5" s="201"/>
      <c r="V5" s="226">
        <f>IF(C5="",NA(),IF(OR(C5="Smelter not listed",C5="Smelter not yet identified"),MATCH($B5&amp;$D5,'Smelter Look-up'!$J:$J,0),MATCH($B5&amp;$C5,'Smelter Look-up'!$J:$J,0)))</f>
        <v>101</v>
      </c>
      <c r="X5" s="227">
        <f t="shared" ref="X5" si="1">IF(AND(C5="Smelter not listed",OR(LEN(D5)=0,LEN(E5)=0)),1,0)</f>
        <v>0</v>
      </c>
      <c r="AB5" s="228" t="str">
        <f t="shared" ref="AB5" si="2">B5&amp;C5</f>
        <v>GoldHeimerle + Meule GmbH</v>
      </c>
    </row>
    <row r="6" spans="1:34" s="227" customFormat="1" ht="19.899999999999999" customHeight="1">
      <c r="A6" s="262"/>
      <c r="B6" s="182" t="s">
        <v>1125</v>
      </c>
      <c r="C6" s="186" t="s">
        <v>2331</v>
      </c>
      <c r="D6" s="230"/>
      <c r="E6" s="182" t="s">
        <v>1091</v>
      </c>
      <c r="F6" s="182" t="s">
        <v>736</v>
      </c>
      <c r="G6" s="182" t="s">
        <v>13240</v>
      </c>
      <c r="H6" s="183">
        <v>0</v>
      </c>
      <c r="I6" s="184" t="s">
        <v>1675</v>
      </c>
      <c r="J6" s="184" t="s">
        <v>3153</v>
      </c>
      <c r="K6" s="224"/>
      <c r="L6" s="224"/>
      <c r="M6" s="224"/>
      <c r="N6" s="224"/>
      <c r="O6" s="224"/>
      <c r="P6" s="185"/>
      <c r="Q6" s="225"/>
      <c r="R6" s="182" t="str">
        <f ca="1">IF(ISERROR($V6),"",OFFSET('Smelter Look-up'!$C$4,$V6-4,0)&amp;"")</f>
        <v>Umicore S.A. Business Unit Precious Metals Refining</v>
      </c>
      <c r="S6" s="181" t="str">
        <f t="shared" ref="S6:S37" ca="1" si="3">IF(B6="","",IF(ISERROR(MATCH($E6,CL,0)),"Unknown",INDIRECT("'C'!$A$"&amp;MATCH($E6,CL,0)+1)))</f>
        <v>BE</v>
      </c>
      <c r="T6" s="181" t="str">
        <f ca="1">IF(B6="","",IF(ISERROR(MATCH($J6,SorP!$B$1:$B$6279,0)),"",INDIRECT("'SorP'!$A$"&amp;MATCH($S6&amp;$J6,SorP!C:C,0))))</f>
        <v>BE-VAN</v>
      </c>
      <c r="U6" s="201"/>
      <c r="V6" s="226">
        <f>IF(C6="",NA(),IF(OR(C6="Smelter not listed",C6="Smelter not yet identified"),MATCH($B6&amp;$D6,'Smelter Look-up'!$J:$J,0),MATCH($B6&amp;$C6,'Smelter Look-up'!$J:$J,0)))</f>
        <v>293</v>
      </c>
      <c r="X6" s="227">
        <f t="shared" ref="X6:X37" si="4">IF(AND(C6="Smelter not listed",OR(LEN(D6)=0,LEN(E6)=0)),1,0)</f>
        <v>0</v>
      </c>
      <c r="AB6" s="228" t="str">
        <f t="shared" ref="AB6:AB37" si="5">B6&amp;C6</f>
        <v>GoldUmicore S.A. Business Unit Precious Metals Refining</v>
      </c>
    </row>
    <row r="7" spans="1:34" s="227" customFormat="1" ht="19.899999999999999" customHeight="1">
      <c r="A7" s="262"/>
      <c r="B7" s="182" t="s">
        <v>1125</v>
      </c>
      <c r="C7" s="186" t="s">
        <v>816</v>
      </c>
      <c r="D7" s="230"/>
      <c r="E7" s="182" t="s">
        <v>2432</v>
      </c>
      <c r="F7" s="182" t="s">
        <v>737</v>
      </c>
      <c r="G7" s="182" t="s">
        <v>13240</v>
      </c>
      <c r="H7" s="183">
        <v>0</v>
      </c>
      <c r="I7" s="184" t="s">
        <v>1677</v>
      </c>
      <c r="J7" s="184" t="s">
        <v>1617</v>
      </c>
      <c r="K7" s="224"/>
      <c r="L7" s="224"/>
      <c r="M7" s="224"/>
      <c r="N7" s="224"/>
      <c r="O7" s="224"/>
      <c r="P7" s="185"/>
      <c r="Q7" s="225"/>
      <c r="R7" s="182" t="str">
        <f ca="1">IF(ISERROR($V7),"",OFFSET('Smelter Look-up'!$C$4,$V7-4,0)&amp;"")</f>
        <v>United Precious Metal Refining, Inc.</v>
      </c>
      <c r="S7" s="181" t="str">
        <f t="shared" ca="1" si="3"/>
        <v>US</v>
      </c>
      <c r="T7" s="181" t="str">
        <f ca="1">IF(B7="","",IF(ISERROR(MATCH($J7,SorP!$B$1:$B$6279,0)),"",INDIRECT("'SorP'!$A$"&amp;MATCH($S7&amp;$J7,SorP!C:C,0))))</f>
        <v>US-NY</v>
      </c>
      <c r="U7" s="201"/>
      <c r="V7" s="226">
        <f>IF(C7="",NA(),IF(OR(C7="Smelter not listed",C7="Smelter not yet identified"),MATCH($B7&amp;$D7,'Smelter Look-up'!$J:$J,0),MATCH($B7&amp;$C7,'Smelter Look-up'!$J:$J,0)))</f>
        <v>294</v>
      </c>
      <c r="X7" s="227">
        <f t="shared" si="4"/>
        <v>0</v>
      </c>
      <c r="AB7" s="228" t="str">
        <f t="shared" si="5"/>
        <v>GoldUnited Precious Metal Refining, Inc.</v>
      </c>
    </row>
    <row r="8" spans="1:34" s="227" customFormat="1" ht="19.899999999999999" customHeight="1">
      <c r="A8" s="262"/>
      <c r="B8" s="182" t="s">
        <v>1125</v>
      </c>
      <c r="C8" s="186" t="s">
        <v>904</v>
      </c>
      <c r="D8" s="230"/>
      <c r="E8" s="182" t="s">
        <v>1104</v>
      </c>
      <c r="F8" s="182" t="s">
        <v>684</v>
      </c>
      <c r="G8" s="182" t="s">
        <v>13240</v>
      </c>
      <c r="H8" s="183">
        <v>0</v>
      </c>
      <c r="I8" s="184" t="s">
        <v>1596</v>
      </c>
      <c r="J8" s="184" t="s">
        <v>1596</v>
      </c>
      <c r="K8" s="224"/>
      <c r="L8" s="224"/>
      <c r="M8" s="224"/>
      <c r="N8" s="224"/>
      <c r="O8" s="224"/>
      <c r="P8" s="185"/>
      <c r="Q8" s="225"/>
      <c r="R8" s="182" t="str">
        <f ca="1">IF(ISERROR($V8),"",OFFSET('Smelter Look-up'!$C$4,$V8-4,0)&amp;"")</f>
        <v>Japan Mint</v>
      </c>
      <c r="S8" s="181" t="str">
        <f t="shared" ca="1" si="3"/>
        <v>JP</v>
      </c>
      <c r="T8" s="181" t="str">
        <f ca="1">IF(B8="","",IF(ISERROR(MATCH($J8,SorP!$B$1:$B$6279,0)),"",INDIRECT("'SorP'!$A$"&amp;MATCH($S8&amp;$J8,SorP!C:C,0))))</f>
        <v>JP-27</v>
      </c>
      <c r="U8" s="201"/>
      <c r="V8" s="226">
        <f>IF(C8="",NA(),IF(OR(C8="Smelter not listed",C8="Smelter not yet identified"),MATCH($B8&amp;$D8,'Smelter Look-up'!$J:$J,0),MATCH($B8&amp;$C8,'Smelter Look-up'!$J:$J,0)))</f>
        <v>122</v>
      </c>
      <c r="X8" s="227">
        <f t="shared" si="4"/>
        <v>0</v>
      </c>
      <c r="AB8" s="228" t="str">
        <f t="shared" si="5"/>
        <v>GoldJapan Mint</v>
      </c>
    </row>
    <row r="9" spans="1:34" s="227" customFormat="1" ht="19.899999999999999" customHeight="1">
      <c r="A9" s="262"/>
      <c r="B9" s="182" t="s">
        <v>1125</v>
      </c>
      <c r="C9" s="186" t="s">
        <v>2326</v>
      </c>
      <c r="D9" s="230"/>
      <c r="E9" s="182" t="s">
        <v>1104</v>
      </c>
      <c r="F9" s="182" t="s">
        <v>730</v>
      </c>
      <c r="G9" s="182" t="s">
        <v>13240</v>
      </c>
      <c r="H9" s="183">
        <v>0</v>
      </c>
      <c r="I9" s="184" t="s">
        <v>1663</v>
      </c>
      <c r="J9" s="184" t="s">
        <v>1664</v>
      </c>
      <c r="K9" s="224"/>
      <c r="L9" s="224"/>
      <c r="M9" s="224"/>
      <c r="N9" s="224"/>
      <c r="O9" s="224"/>
      <c r="P9" s="185"/>
      <c r="Q9" s="225"/>
      <c r="R9" s="182" t="str">
        <f ca="1">IF(ISERROR($V9),"",OFFSET('Smelter Look-up'!$C$4,$V9-4,0)&amp;"")</f>
        <v>Tanaka Kikinzoku Kogyo K.K.</v>
      </c>
      <c r="S9" s="181" t="str">
        <f t="shared" ca="1" si="3"/>
        <v>JP</v>
      </c>
      <c r="T9" s="181" t="str">
        <f ca="1">IF(B9="","",IF(ISERROR(MATCH($J9,SorP!$B$1:$B$6279,0)),"",INDIRECT("'SorP'!$A$"&amp;MATCH($S9&amp;$J9,SorP!C:C,0))))</f>
        <v>JP-14</v>
      </c>
      <c r="U9" s="201"/>
      <c r="V9" s="226">
        <f>IF(C9="",NA(),IF(OR(C9="Smelter not listed",C9="Smelter not yet identified"),MATCH($B9&amp;$D9,'Smelter Look-up'!$J:$J,0),MATCH($B9&amp;$C9,'Smelter Look-up'!$J:$J,0)))</f>
        <v>277</v>
      </c>
      <c r="X9" s="227">
        <f t="shared" si="4"/>
        <v>0</v>
      </c>
      <c r="AB9" s="228" t="str">
        <f t="shared" si="5"/>
        <v>GoldTanaka Kikinzoku Kogyo K.K</v>
      </c>
    </row>
    <row r="10" spans="1:34" s="227" customFormat="1" ht="19.899999999999999" customHeight="1">
      <c r="A10" s="262"/>
      <c r="B10" s="182" t="s">
        <v>1125</v>
      </c>
      <c r="C10" s="186" t="s">
        <v>2202</v>
      </c>
      <c r="D10" s="230"/>
      <c r="E10" s="182" t="s">
        <v>1097</v>
      </c>
      <c r="F10" s="182" t="s">
        <v>2204</v>
      </c>
      <c r="G10" s="182" t="s">
        <v>13240</v>
      </c>
      <c r="H10" s="183">
        <v>0</v>
      </c>
      <c r="I10" s="184" t="s">
        <v>1542</v>
      </c>
      <c r="J10" s="184" t="s">
        <v>1543</v>
      </c>
      <c r="K10" s="224"/>
      <c r="L10" s="224"/>
      <c r="M10" s="224"/>
      <c r="N10" s="224"/>
      <c r="O10" s="224"/>
      <c r="P10" s="185"/>
      <c r="Q10" s="225"/>
      <c r="R10" s="182" t="str">
        <f ca="1">IF(ISERROR($V10),"",OFFSET('Smelter Look-up'!$C$4,$V10-4,0)&amp;"")</f>
        <v>WIELAND Edelmetalle GmbH</v>
      </c>
      <c r="S10" s="181" t="str">
        <f t="shared" ca="1" si="3"/>
        <v>DE</v>
      </c>
      <c r="T10" s="181" t="str">
        <f ca="1">IF(B10="","",IF(ISERROR(MATCH($J10,SorP!$B$1:$B$6279,0)),"",INDIRECT("'SorP'!$A$"&amp;MATCH($S10&amp;$J10,SorP!C:C,0))))</f>
        <v>DE-BW</v>
      </c>
      <c r="U10" s="201"/>
      <c r="V10" s="226">
        <f>IF(C10="",NA(),IF(OR(C10="Smelter not listed",C10="Smelter not yet identified"),MATCH($B10&amp;$D10,'Smelter Look-up'!$J:$J,0),MATCH($B10&amp;$C10,'Smelter Look-up'!$J:$J,0)))</f>
        <v>298</v>
      </c>
      <c r="X10" s="227">
        <f t="shared" si="4"/>
        <v>0</v>
      </c>
      <c r="AB10" s="228" t="str">
        <f t="shared" si="5"/>
        <v>GoldWIELAND Edelmetalle GmbH</v>
      </c>
    </row>
    <row r="11" spans="1:34" s="227" customFormat="1" ht="19.899999999999999" customHeight="1">
      <c r="A11" s="262"/>
      <c r="B11" s="182" t="s">
        <v>1125</v>
      </c>
      <c r="C11" s="186" t="s">
        <v>1162</v>
      </c>
      <c r="D11" s="230"/>
      <c r="E11" s="182" t="s">
        <v>1094</v>
      </c>
      <c r="F11" s="182" t="s">
        <v>705</v>
      </c>
      <c r="G11" s="182" t="s">
        <v>13240</v>
      </c>
      <c r="H11" s="183">
        <v>0</v>
      </c>
      <c r="I11" s="184" t="s">
        <v>1622</v>
      </c>
      <c r="J11" s="184" t="s">
        <v>1623</v>
      </c>
      <c r="K11" s="224"/>
      <c r="L11" s="224"/>
      <c r="M11" s="224"/>
      <c r="N11" s="224"/>
      <c r="O11" s="224"/>
      <c r="P11" s="185"/>
      <c r="Q11" s="225"/>
      <c r="R11" s="182" t="str">
        <f ca="1">IF(ISERROR($V11),"",OFFSET('Smelter Look-up'!$C$4,$V11-4,0)&amp;"")</f>
        <v>Metalor Technologies S.A.</v>
      </c>
      <c r="S11" s="181" t="str">
        <f t="shared" ca="1" si="3"/>
        <v>CH</v>
      </c>
      <c r="T11" s="181" t="str">
        <f ca="1">IF(B11="","",IF(ISERROR(MATCH($J11,SorP!$B$1:$B$6279,0)),"",INDIRECT("'SorP'!$A$"&amp;MATCH($S11&amp;$J11,SorP!C:C,0))))</f>
        <v>CH-NE</v>
      </c>
      <c r="U11" s="201"/>
      <c r="V11" s="226">
        <f>IF(C11="",NA(),IF(OR(C11="Smelter not listed",C11="Smelter not yet identified"),MATCH($B11&amp;$D11,'Smelter Look-up'!$J:$J,0),MATCH($B11&amp;$C11,'Smelter Look-up'!$J:$J,0)))</f>
        <v>171</v>
      </c>
      <c r="X11" s="227">
        <f t="shared" si="4"/>
        <v>0</v>
      </c>
      <c r="AB11" s="228" t="str">
        <f t="shared" si="5"/>
        <v>GoldMetalor Switzerland</v>
      </c>
    </row>
    <row r="12" spans="1:34" s="227" customFormat="1" ht="19.899999999999999" customHeight="1">
      <c r="A12" s="262"/>
      <c r="B12" s="182" t="s">
        <v>1125</v>
      </c>
      <c r="C12" s="186" t="s">
        <v>2150</v>
      </c>
      <c r="D12" s="230"/>
      <c r="E12" s="182" t="s">
        <v>1096</v>
      </c>
      <c r="F12" s="182" t="s">
        <v>703</v>
      </c>
      <c r="G12" s="182" t="s">
        <v>13240</v>
      </c>
      <c r="H12" s="183">
        <v>0</v>
      </c>
      <c r="I12" s="184" t="s">
        <v>1621</v>
      </c>
      <c r="J12" s="184" t="s">
        <v>15310</v>
      </c>
      <c r="K12" s="224"/>
      <c r="L12" s="224"/>
      <c r="M12" s="224"/>
      <c r="N12" s="224"/>
      <c r="O12" s="224"/>
      <c r="P12" s="185"/>
      <c r="Q12" s="225"/>
      <c r="R12" s="182" t="str">
        <f ca="1">IF(ISERROR($V12),"",OFFSET('Smelter Look-up'!$C$4,$V12-4,0)&amp;"")</f>
        <v>Metalor Technologies (Hong Kong) Ltd.</v>
      </c>
      <c r="S12" s="181" t="str">
        <f t="shared" ca="1" si="3"/>
        <v>CN</v>
      </c>
      <c r="T12" s="181" t="str">
        <f ca="1">IF(B12="","",IF(ISERROR(MATCH($J12,SorP!$B$1:$B$6279,0)),"",INDIRECT("'SorP'!$A$"&amp;MATCH($S12&amp;$J12,SorP!C:C,0))))</f>
        <v>CN-HK</v>
      </c>
      <c r="U12" s="201"/>
      <c r="V12" s="226">
        <f>IF(C12="",NA(),IF(OR(C12="Smelter not listed",C12="Smelter not yet identified"),MATCH($B12&amp;$D12,'Smelter Look-up'!$J:$J,0),MATCH($B12&amp;$C12,'Smelter Look-up'!$J:$J,0)))</f>
        <v>172</v>
      </c>
      <c r="X12" s="227">
        <f t="shared" si="4"/>
        <v>0</v>
      </c>
      <c r="AB12" s="228" t="str">
        <f t="shared" si="5"/>
        <v>GoldMetalor Technologies (Hong Kong) Ltd.</v>
      </c>
    </row>
    <row r="13" spans="1:34" s="227" customFormat="1" ht="19.899999999999999" customHeight="1">
      <c r="A13" s="262"/>
      <c r="B13" s="182" t="s">
        <v>1125</v>
      </c>
      <c r="C13" s="186" t="s">
        <v>2151</v>
      </c>
      <c r="D13" s="230"/>
      <c r="E13" s="182" t="s">
        <v>882</v>
      </c>
      <c r="F13" s="182" t="s">
        <v>704</v>
      </c>
      <c r="G13" s="182" t="s">
        <v>13240</v>
      </c>
      <c r="H13" s="183">
        <v>0</v>
      </c>
      <c r="I13" s="184" t="s">
        <v>12723</v>
      </c>
      <c r="J13" s="184" t="s">
        <v>10295</v>
      </c>
      <c r="K13" s="224"/>
      <c r="L13" s="224"/>
      <c r="M13" s="224"/>
      <c r="N13" s="224"/>
      <c r="O13" s="224"/>
      <c r="P13" s="185"/>
      <c r="Q13" s="225"/>
      <c r="R13" s="182" t="str">
        <f ca="1">IF(ISERROR($V13),"",OFFSET('Smelter Look-up'!$C$4,$V13-4,0)&amp;"")</f>
        <v>Metalor Technologies (Singapore) Pte., Ltd.</v>
      </c>
      <c r="S13" s="181" t="str">
        <f t="shared" ca="1" si="3"/>
        <v>SG</v>
      </c>
      <c r="T13" s="181" t="str">
        <f ca="1">IF(B13="","",IF(ISERROR(MATCH($J13,SorP!$B$1:$B$6279,0)),"",INDIRECT("'SorP'!$A$"&amp;MATCH($S13&amp;$J13,SorP!C:C,0))))</f>
        <v>SG-05</v>
      </c>
      <c r="U13" s="201"/>
      <c r="V13" s="226">
        <f>IF(C13="",NA(),IF(OR(C13="Smelter not listed",C13="Smelter not yet identified"),MATCH($B13&amp;$D13,'Smelter Look-up'!$J:$J,0),MATCH($B13&amp;$C13,'Smelter Look-up'!$J:$J,0)))</f>
        <v>173</v>
      </c>
      <c r="X13" s="227">
        <f t="shared" si="4"/>
        <v>0</v>
      </c>
      <c r="AB13" s="228" t="str">
        <f t="shared" si="5"/>
        <v>GoldMetalor Technologies (Singapore) Pte., Ltd.</v>
      </c>
    </row>
    <row r="14" spans="1:34" s="227" customFormat="1" ht="19.899999999999999" customHeight="1">
      <c r="A14" s="262"/>
      <c r="B14" s="182" t="s">
        <v>1125</v>
      </c>
      <c r="C14" s="186" t="s">
        <v>1619</v>
      </c>
      <c r="D14" s="230"/>
      <c r="E14" s="182" t="s">
        <v>1096</v>
      </c>
      <c r="F14" s="182" t="s">
        <v>1620</v>
      </c>
      <c r="G14" s="182" t="s">
        <v>13240</v>
      </c>
      <c r="H14" s="183">
        <v>0</v>
      </c>
      <c r="I14" s="184" t="s">
        <v>2512</v>
      </c>
      <c r="J14" s="184" t="s">
        <v>13632</v>
      </c>
      <c r="K14" s="224"/>
      <c r="L14" s="224"/>
      <c r="M14" s="224"/>
      <c r="N14" s="224"/>
      <c r="O14" s="224"/>
      <c r="P14" s="185"/>
      <c r="Q14" s="225"/>
      <c r="R14" s="182" t="str">
        <f ca="1">IF(ISERROR($V14),"",OFFSET('Smelter Look-up'!$C$4,$V14-4,0)&amp;"")</f>
        <v>Metalor Technologies (Suzhou) Ltd.</v>
      </c>
      <c r="S14" s="181" t="str">
        <f t="shared" ca="1" si="3"/>
        <v>CN</v>
      </c>
      <c r="T14" s="181" t="str">
        <f ca="1">IF(B14="","",IF(ISERROR(MATCH($J14,SorP!$B$1:$B$6279,0)),"",INDIRECT("'SorP'!$A$"&amp;MATCH($S14&amp;$J14,SorP!C:C,0))))</f>
        <v>CN-JS</v>
      </c>
      <c r="U14" s="201"/>
      <c r="V14" s="226">
        <f>IF(C14="",NA(),IF(OR(C14="Smelter not listed",C14="Smelter not yet identified"),MATCH($B14&amp;$D14,'Smelter Look-up'!$J:$J,0),MATCH($B14&amp;$C14,'Smelter Look-up'!$J:$J,0)))</f>
        <v>174</v>
      </c>
      <c r="X14" s="227">
        <f t="shared" si="4"/>
        <v>0</v>
      </c>
      <c r="AB14" s="228" t="str">
        <f t="shared" si="5"/>
        <v>GoldMetalor Technologies (Suzhou) Ltd.</v>
      </c>
    </row>
    <row r="15" spans="1:34" s="227" customFormat="1" ht="19.899999999999999" customHeight="1">
      <c r="A15" s="262"/>
      <c r="B15" s="182" t="s">
        <v>1125</v>
      </c>
      <c r="C15" s="186" t="s">
        <v>2305</v>
      </c>
      <c r="D15" s="230"/>
      <c r="E15" s="182" t="s">
        <v>1094</v>
      </c>
      <c r="F15" s="182" t="s">
        <v>705</v>
      </c>
      <c r="G15" s="182" t="s">
        <v>13240</v>
      </c>
      <c r="H15" s="183">
        <v>0</v>
      </c>
      <c r="I15" s="184" t="s">
        <v>1622</v>
      </c>
      <c r="J15" s="184" t="s">
        <v>1623</v>
      </c>
      <c r="K15" s="224"/>
      <c r="L15" s="224"/>
      <c r="M15" s="224"/>
      <c r="N15" s="224"/>
      <c r="O15" s="224"/>
      <c r="P15" s="185"/>
      <c r="Q15" s="225"/>
      <c r="R15" s="182" t="str">
        <f ca="1">IF(ISERROR($V15),"",OFFSET('Smelter Look-up'!$C$4,$V15-4,0)&amp;"")</f>
        <v>Metalor Technologies S.A.</v>
      </c>
      <c r="S15" s="181" t="str">
        <f t="shared" ca="1" si="3"/>
        <v>CH</v>
      </c>
      <c r="T15" s="181" t="str">
        <f ca="1">IF(B15="","",IF(ISERROR(MATCH($J15,SorP!$B$1:$B$6279,0)),"",INDIRECT("'SorP'!$A$"&amp;MATCH($S15&amp;$J15,SorP!C:C,0))))</f>
        <v>CH-NE</v>
      </c>
      <c r="U15" s="201"/>
      <c r="V15" s="226">
        <f>IF(C15="",NA(),IF(OR(C15="Smelter not listed",C15="Smelter not yet identified"),MATCH($B15&amp;$D15,'Smelter Look-up'!$J:$J,0),MATCH($B15&amp;$C15,'Smelter Look-up'!$J:$J,0)))</f>
        <v>175</v>
      </c>
      <c r="X15" s="227">
        <f t="shared" si="4"/>
        <v>0</v>
      </c>
      <c r="AB15" s="228" t="str">
        <f t="shared" si="5"/>
        <v>GoldMetalor Technologies S.A.</v>
      </c>
    </row>
    <row r="16" spans="1:34" s="227" customFormat="1" ht="19.899999999999999" customHeight="1">
      <c r="A16" s="262"/>
      <c r="B16" s="182" t="s">
        <v>1125</v>
      </c>
      <c r="C16" s="186" t="s">
        <v>1224</v>
      </c>
      <c r="D16" s="230"/>
      <c r="E16" s="182" t="s">
        <v>2432</v>
      </c>
      <c r="F16" s="182" t="s">
        <v>706</v>
      </c>
      <c r="G16" s="182" t="s">
        <v>13240</v>
      </c>
      <c r="H16" s="183">
        <v>0</v>
      </c>
      <c r="I16" s="184" t="s">
        <v>1624</v>
      </c>
      <c r="J16" s="184" t="s">
        <v>1625</v>
      </c>
      <c r="K16" s="224"/>
      <c r="L16" s="224"/>
      <c r="M16" s="224"/>
      <c r="N16" s="224"/>
      <c r="O16" s="224"/>
      <c r="P16" s="185"/>
      <c r="Q16" s="225"/>
      <c r="R16" s="182" t="str">
        <f ca="1">IF(ISERROR($V16),"",OFFSET('Smelter Look-up'!$C$4,$V16-4,0)&amp;"")</f>
        <v>Metalor USA Refining Corporation</v>
      </c>
      <c r="S16" s="181" t="str">
        <f t="shared" ca="1" si="3"/>
        <v>US</v>
      </c>
      <c r="T16" s="181" t="str">
        <f ca="1">IF(B16="","",IF(ISERROR(MATCH($J16,SorP!$B$1:$B$6279,0)),"",INDIRECT("'SorP'!$A$"&amp;MATCH($S16&amp;$J16,SorP!C:C,0))))</f>
        <v>US-MA</v>
      </c>
      <c r="U16" s="201"/>
      <c r="V16" s="226">
        <f>IF(C16="",NA(),IF(OR(C16="Smelter not listed",C16="Smelter not yet identified"),MATCH($B16&amp;$D16,'Smelter Look-up'!$J:$J,0),MATCH($B16&amp;$C16,'Smelter Look-up'!$J:$J,0)))</f>
        <v>176</v>
      </c>
      <c r="X16" s="227">
        <f t="shared" si="4"/>
        <v>0</v>
      </c>
      <c r="AB16" s="228" t="str">
        <f t="shared" si="5"/>
        <v>GoldMetalor USA Refining Corporation</v>
      </c>
    </row>
    <row r="17" spans="1:28" s="227" customFormat="1" ht="19.899999999999999" customHeight="1">
      <c r="A17" s="262"/>
      <c r="B17" s="182" t="s">
        <v>1125</v>
      </c>
      <c r="C17" s="186" t="s">
        <v>1162</v>
      </c>
      <c r="D17" s="230"/>
      <c r="E17" s="182" t="s">
        <v>1094</v>
      </c>
      <c r="F17" s="182" t="s">
        <v>705</v>
      </c>
      <c r="G17" s="182" t="s">
        <v>13240</v>
      </c>
      <c r="H17" s="183" t="s">
        <v>15806</v>
      </c>
      <c r="I17" s="184" t="s">
        <v>1622</v>
      </c>
      <c r="J17" s="184" t="s">
        <v>1623</v>
      </c>
      <c r="K17" s="224"/>
      <c r="L17" s="224"/>
      <c r="M17" s="224"/>
      <c r="N17" s="224"/>
      <c r="O17" s="224"/>
      <c r="P17" s="185"/>
      <c r="Q17" s="225"/>
      <c r="R17" s="182" t="str">
        <f ca="1">IF(ISERROR($V17),"",OFFSET('Smelter Look-up'!$C$4,$V17-4,0)&amp;"")</f>
        <v>Metalor Technologies S.A.</v>
      </c>
      <c r="S17" s="181" t="str">
        <f t="shared" ca="1" si="3"/>
        <v>CH</v>
      </c>
      <c r="T17" s="181" t="str">
        <f ca="1">IF(B17="","",IF(ISERROR(MATCH($J17,SorP!$B$1:$B$6279,0)),"",INDIRECT("'SorP'!$A$"&amp;MATCH($S17&amp;$J17,SorP!C:C,0))))</f>
        <v>CH-NE</v>
      </c>
      <c r="U17" s="201"/>
      <c r="V17" s="226">
        <f>IF(C17="",NA(),IF(OR(C17="Smelter not listed",C17="Smelter not yet identified"),MATCH($B17&amp;$D17,'Smelter Look-up'!$J:$J,0),MATCH($B17&amp;$C17,'Smelter Look-up'!$J:$J,0)))</f>
        <v>171</v>
      </c>
      <c r="X17" s="227">
        <f t="shared" si="4"/>
        <v>0</v>
      </c>
      <c r="AB17" s="228" t="str">
        <f t="shared" si="5"/>
        <v>GoldMetalor Switzerland</v>
      </c>
    </row>
    <row r="18" spans="1:28" s="227" customFormat="1" ht="19.899999999999999" customHeight="1">
      <c r="A18" s="181"/>
      <c r="B18" s="182" t="s">
        <v>1125</v>
      </c>
      <c r="C18" s="186" t="s">
        <v>2150</v>
      </c>
      <c r="D18" s="230"/>
      <c r="E18" s="182" t="s">
        <v>1096</v>
      </c>
      <c r="F18" s="182" t="s">
        <v>703</v>
      </c>
      <c r="G18" s="182" t="s">
        <v>13240</v>
      </c>
      <c r="H18" s="183" t="s">
        <v>15807</v>
      </c>
      <c r="I18" s="184" t="s">
        <v>1621</v>
      </c>
      <c r="J18" s="184" t="s">
        <v>15310</v>
      </c>
      <c r="K18" s="224"/>
      <c r="L18" s="224"/>
      <c r="M18" s="224"/>
      <c r="N18" s="224"/>
      <c r="O18" s="224"/>
      <c r="P18" s="185"/>
      <c r="Q18" s="225"/>
      <c r="R18" s="182" t="str">
        <f ca="1">IF(ISERROR($V18),"",OFFSET('Smelter Look-up'!$C$4,$V18-4,0)&amp;"")</f>
        <v>Metalor Technologies (Hong Kong) Ltd.</v>
      </c>
      <c r="S18" s="181" t="str">
        <f t="shared" ca="1" si="3"/>
        <v>CN</v>
      </c>
      <c r="T18" s="181" t="str">
        <f ca="1">IF(B18="","",IF(ISERROR(MATCH($J18,SorP!$B$1:$B$6279,0)),"",INDIRECT("'SorP'!$A$"&amp;MATCH($S18&amp;$J18,SorP!C:C,0))))</f>
        <v>CN-HK</v>
      </c>
      <c r="U18" s="201"/>
      <c r="V18" s="226">
        <f>IF(C18="",NA(),IF(OR(C18="Smelter not listed",C18="Smelter not yet identified"),MATCH($B18&amp;$D18,'Smelter Look-up'!$J:$J,0),MATCH($B18&amp;$C18,'Smelter Look-up'!$J:$J,0)))</f>
        <v>172</v>
      </c>
      <c r="X18" s="227">
        <f t="shared" si="4"/>
        <v>0</v>
      </c>
      <c r="AB18" s="228" t="str">
        <f t="shared" si="5"/>
        <v>GoldMetalor Technologies (Hong Kong) Ltd.</v>
      </c>
    </row>
    <row r="19" spans="1:28" s="227" customFormat="1" ht="102">
      <c r="A19" s="181"/>
      <c r="B19" s="182" t="s">
        <v>1125</v>
      </c>
      <c r="C19" s="186" t="s">
        <v>2151</v>
      </c>
      <c r="D19" s="230"/>
      <c r="E19" s="182" t="s">
        <v>882</v>
      </c>
      <c r="F19" s="182" t="s">
        <v>704</v>
      </c>
      <c r="G19" s="182" t="s">
        <v>13240</v>
      </c>
      <c r="H19" s="183" t="s">
        <v>15808</v>
      </c>
      <c r="I19" s="184" t="s">
        <v>12723</v>
      </c>
      <c r="J19" s="184" t="s">
        <v>10295</v>
      </c>
      <c r="K19" s="224"/>
      <c r="L19" s="224"/>
      <c r="M19" s="224"/>
      <c r="N19" s="224"/>
      <c r="O19" s="224"/>
      <c r="P19" s="185"/>
      <c r="Q19" s="225"/>
      <c r="R19" s="182" t="str">
        <f ca="1">IF(ISERROR($V19),"",OFFSET('Smelter Look-up'!$C$4,$V19-4,0)&amp;"")</f>
        <v>Metalor Technologies (Singapore) Pte., Ltd.</v>
      </c>
      <c r="S19" s="181" t="str">
        <f t="shared" ca="1" si="3"/>
        <v>SG</v>
      </c>
      <c r="T19" s="181" t="str">
        <f ca="1">IF(B19="","",IF(ISERROR(MATCH($J19,SorP!$B$1:$B$6279,0)),"",INDIRECT("'SorP'!$A$"&amp;MATCH($S19&amp;$J19,SorP!C:C,0))))</f>
        <v>SG-05</v>
      </c>
      <c r="U19" s="201"/>
      <c r="V19" s="226">
        <f>IF(C19="",NA(),IF(OR(C19="Smelter not listed",C19="Smelter not yet identified"),MATCH($B19&amp;$D19,'Smelter Look-up'!$J:$J,0),MATCH($B19&amp;$C19,'Smelter Look-up'!$J:$J,0)))</f>
        <v>173</v>
      </c>
      <c r="X19" s="227">
        <f t="shared" si="4"/>
        <v>0</v>
      </c>
      <c r="AB19" s="228" t="str">
        <f t="shared" si="5"/>
        <v>GoldMetalor Technologies (Singapore) Pte., Ltd.</v>
      </c>
    </row>
    <row r="20" spans="1:28" s="227" customFormat="1" ht="76.5">
      <c r="A20" s="181"/>
      <c r="B20" s="182" t="s">
        <v>1125</v>
      </c>
      <c r="C20" s="186" t="s">
        <v>1619</v>
      </c>
      <c r="D20" s="230"/>
      <c r="E20" s="182" t="s">
        <v>1096</v>
      </c>
      <c r="F20" s="182" t="s">
        <v>1620</v>
      </c>
      <c r="G20" s="182" t="s">
        <v>13240</v>
      </c>
      <c r="H20" s="183" t="s">
        <v>15809</v>
      </c>
      <c r="I20" s="184" t="s">
        <v>2512</v>
      </c>
      <c r="J20" s="184" t="s">
        <v>13632</v>
      </c>
      <c r="K20" s="224"/>
      <c r="L20" s="224"/>
      <c r="M20" s="224"/>
      <c r="N20" s="224"/>
      <c r="O20" s="224"/>
      <c r="P20" s="185"/>
      <c r="Q20" s="225"/>
      <c r="R20" s="182" t="str">
        <f ca="1">IF(ISERROR($V20),"",OFFSET('Smelter Look-up'!$C$4,$V20-4,0)&amp;"")</f>
        <v>Metalor Technologies (Suzhou) Ltd.</v>
      </c>
      <c r="S20" s="181" t="str">
        <f t="shared" ca="1" si="3"/>
        <v>CN</v>
      </c>
      <c r="T20" s="181" t="str">
        <f ca="1">IF(B20="","",IF(ISERROR(MATCH($J20,SorP!$B$1:$B$6279,0)),"",INDIRECT("'SorP'!$A$"&amp;MATCH($S20&amp;$J20,SorP!C:C,0))))</f>
        <v>CN-JS</v>
      </c>
      <c r="U20" s="201"/>
      <c r="V20" s="226">
        <f>IF(C20="",NA(),IF(OR(C20="Smelter not listed",C20="Smelter not yet identified"),MATCH($B20&amp;$D20,'Smelter Look-up'!$J:$J,0),MATCH($B20&amp;$C20,'Smelter Look-up'!$J:$J,0)))</f>
        <v>174</v>
      </c>
      <c r="X20" s="227">
        <f t="shared" si="4"/>
        <v>0</v>
      </c>
      <c r="AB20" s="228" t="str">
        <f t="shared" si="5"/>
        <v>GoldMetalor Technologies (Suzhou) Ltd.</v>
      </c>
    </row>
    <row r="21" spans="1:28" s="227" customFormat="1" ht="63.75">
      <c r="A21" s="181"/>
      <c r="B21" s="182" t="s">
        <v>1125</v>
      </c>
      <c r="C21" s="186" t="s">
        <v>2305</v>
      </c>
      <c r="D21" s="230"/>
      <c r="E21" s="182" t="s">
        <v>1094</v>
      </c>
      <c r="F21" s="182" t="s">
        <v>705</v>
      </c>
      <c r="G21" s="182" t="s">
        <v>13240</v>
      </c>
      <c r="H21" s="183" t="s">
        <v>15806</v>
      </c>
      <c r="I21" s="184" t="s">
        <v>1622</v>
      </c>
      <c r="J21" s="184" t="s">
        <v>1623</v>
      </c>
      <c r="K21" s="224"/>
      <c r="L21" s="224"/>
      <c r="M21" s="224"/>
      <c r="N21" s="224"/>
      <c r="O21" s="224"/>
      <c r="P21" s="185"/>
      <c r="Q21" s="225"/>
      <c r="R21" s="182" t="str">
        <f ca="1">IF(ISERROR($V21),"",OFFSET('Smelter Look-up'!$C$4,$V21-4,0)&amp;"")</f>
        <v>Metalor Technologies S.A.</v>
      </c>
      <c r="S21" s="181" t="str">
        <f t="shared" ca="1" si="3"/>
        <v>CH</v>
      </c>
      <c r="T21" s="181" t="str">
        <f ca="1">IF(B21="","",IF(ISERROR(MATCH($J21,SorP!$B$1:$B$6279,0)),"",INDIRECT("'SorP'!$A$"&amp;MATCH($S21&amp;$J21,SorP!C:C,0))))</f>
        <v>CH-NE</v>
      </c>
      <c r="U21" s="201"/>
      <c r="V21" s="226">
        <f>IF(C21="",NA(),IF(OR(C21="Smelter not listed",C21="Smelter not yet identified"),MATCH($B21&amp;$D21,'Smelter Look-up'!$J:$J,0),MATCH($B21&amp;$C21,'Smelter Look-up'!$J:$J,0)))</f>
        <v>175</v>
      </c>
      <c r="X21" s="227">
        <f t="shared" si="4"/>
        <v>0</v>
      </c>
      <c r="AB21" s="228" t="str">
        <f t="shared" si="5"/>
        <v>GoldMetalor Technologies S.A.</v>
      </c>
    </row>
    <row r="22" spans="1:28" s="227" customFormat="1" ht="63.75">
      <c r="A22" s="181"/>
      <c r="B22" s="182" t="s">
        <v>1125</v>
      </c>
      <c r="C22" s="186" t="s">
        <v>1224</v>
      </c>
      <c r="D22" s="230"/>
      <c r="E22" s="182" t="s">
        <v>2432</v>
      </c>
      <c r="F22" s="182" t="s">
        <v>706</v>
      </c>
      <c r="G22" s="182" t="s">
        <v>13240</v>
      </c>
      <c r="H22" s="183" t="s">
        <v>15810</v>
      </c>
      <c r="I22" s="184" t="s">
        <v>1624</v>
      </c>
      <c r="J22" s="184" t="s">
        <v>1625</v>
      </c>
      <c r="K22" s="224"/>
      <c r="L22" s="224"/>
      <c r="M22" s="224"/>
      <c r="N22" s="224"/>
      <c r="O22" s="224"/>
      <c r="P22" s="185"/>
      <c r="Q22" s="225"/>
      <c r="R22" s="182" t="str">
        <f ca="1">IF(ISERROR($V22),"",OFFSET('Smelter Look-up'!$C$4,$V22-4,0)&amp;"")</f>
        <v>Metalor USA Refining Corporation</v>
      </c>
      <c r="S22" s="181" t="str">
        <f t="shared" ca="1" si="3"/>
        <v>US</v>
      </c>
      <c r="T22" s="181" t="str">
        <f ca="1">IF(B22="","",IF(ISERROR(MATCH($J22,SorP!$B$1:$B$6279,0)),"",INDIRECT("'SorP'!$A$"&amp;MATCH($S22&amp;$J22,SorP!C:C,0))))</f>
        <v>US-MA</v>
      </c>
      <c r="U22" s="201"/>
      <c r="V22" s="226">
        <f>IF(C22="",NA(),IF(OR(C22="Smelter not listed",C22="Smelter not yet identified"),MATCH($B22&amp;$D22,'Smelter Look-up'!$J:$J,0),MATCH($B22&amp;$C22,'Smelter Look-up'!$J:$J,0)))</f>
        <v>176</v>
      </c>
      <c r="X22" s="227">
        <f t="shared" si="4"/>
        <v>0</v>
      </c>
      <c r="AB22" s="228" t="str">
        <f t="shared" si="5"/>
        <v>GoldMetalor USA Refining Corporation</v>
      </c>
    </row>
    <row r="23" spans="1:28" s="227" customFormat="1" ht="25.5">
      <c r="A23" s="181"/>
      <c r="B23" s="182" t="s">
        <v>1126</v>
      </c>
      <c r="C23" s="186" t="s">
        <v>49</v>
      </c>
      <c r="D23" s="230"/>
      <c r="E23" s="182" t="s">
        <v>2432</v>
      </c>
      <c r="F23" s="182" t="s">
        <v>763</v>
      </c>
      <c r="G23" s="182" t="s">
        <v>13240</v>
      </c>
      <c r="H23" s="183">
        <v>0</v>
      </c>
      <c r="I23" s="184" t="s">
        <v>1760</v>
      </c>
      <c r="J23" s="184" t="s">
        <v>1737</v>
      </c>
      <c r="K23" s="224"/>
      <c r="L23" s="224"/>
      <c r="M23" s="224"/>
      <c r="N23" s="224"/>
      <c r="O23" s="224"/>
      <c r="P23" s="185"/>
      <c r="Q23" s="225"/>
      <c r="R23" s="182" t="str">
        <f ca="1">IF(ISERROR($V23),"",OFFSET('Smelter Look-up'!$C$4,$V23-4,0)&amp;"")</f>
        <v>Alpha</v>
      </c>
      <c r="S23" s="181" t="str">
        <f t="shared" ca="1" si="3"/>
        <v>US</v>
      </c>
      <c r="T23" s="181" t="str">
        <f ca="1">IF(B23="","",IF(ISERROR(MATCH($J23,SorP!$B$1:$B$6279,0)),"",INDIRECT("'SorP'!$A$"&amp;MATCH($S23&amp;$J23,SorP!C:C,0))))</f>
        <v>US-PA</v>
      </c>
      <c r="U23" s="201"/>
      <c r="V23" s="226">
        <f>IF(C23="",NA(),IF(OR(C23="Smelter not listed",C23="Smelter not yet identified"),MATCH($B23&amp;$D23,'Smelter Look-up'!$J:$J,0),MATCH($B23&amp;$C23,'Smelter Look-up'!$J:$J,0)))</f>
        <v>389</v>
      </c>
      <c r="X23" s="227">
        <f t="shared" si="4"/>
        <v>0</v>
      </c>
      <c r="AB23" s="228" t="str">
        <f t="shared" si="5"/>
        <v>TinAlpha</v>
      </c>
    </row>
    <row r="24" spans="1:28" s="227" customFormat="1" ht="51">
      <c r="A24" s="181"/>
      <c r="B24" s="182" t="s">
        <v>1126</v>
      </c>
      <c r="C24" s="186" t="s">
        <v>13801</v>
      </c>
      <c r="D24" s="230"/>
      <c r="E24" s="182" t="s">
        <v>1101</v>
      </c>
      <c r="F24" s="182" t="s">
        <v>781</v>
      </c>
      <c r="G24" s="182" t="s">
        <v>13240</v>
      </c>
      <c r="H24" s="183">
        <v>0</v>
      </c>
      <c r="I24" s="184" t="s">
        <v>1794</v>
      </c>
      <c r="J24" s="184" t="s">
        <v>12852</v>
      </c>
      <c r="K24" s="224"/>
      <c r="L24" s="224"/>
      <c r="M24" s="224"/>
      <c r="N24" s="224"/>
      <c r="O24" s="224"/>
      <c r="P24" s="185"/>
      <c r="Q24" s="225"/>
      <c r="R24" s="182" t="str">
        <f ca="1">IF(ISERROR($V24),"",OFFSET('Smelter Look-up'!$C$4,$V24-4,0)&amp;"")</f>
        <v>PT Timah Tbk Mentok</v>
      </c>
      <c r="S24" s="181" t="str">
        <f t="shared" ca="1" si="3"/>
        <v>ID</v>
      </c>
      <c r="T24" s="181" t="str">
        <f ca="1">IF(B24="","",IF(ISERROR(MATCH($J24,SorP!$B$1:$B$6279,0)),"",INDIRECT("'SorP'!$A$"&amp;MATCH($S24&amp;$J24,SorP!C:C,0))))</f>
        <v>ID-BB</v>
      </c>
      <c r="U24" s="201"/>
      <c r="V24" s="226">
        <f>IF(C24="",NA(),IF(OR(C24="Smelter not listed",C24="Smelter not yet identified"),MATCH($B24&amp;$D24,'Smelter Look-up'!$J:$J,0),MATCH($B24&amp;$C24,'Smelter Look-up'!$J:$J,0)))</f>
        <v>514</v>
      </c>
      <c r="X24" s="227">
        <f t="shared" si="4"/>
        <v>0</v>
      </c>
      <c r="AB24" s="228" t="str">
        <f t="shared" si="5"/>
        <v>TinPT Timah Tbk Mentok</v>
      </c>
    </row>
    <row r="25" spans="1:28" s="227" customFormat="1" ht="25.5">
      <c r="A25" s="181"/>
      <c r="B25" s="182" t="s">
        <v>1126</v>
      </c>
      <c r="C25" s="186" t="s">
        <v>811</v>
      </c>
      <c r="D25" s="230"/>
      <c r="E25" s="182" t="s">
        <v>878</v>
      </c>
      <c r="F25" s="182" t="s">
        <v>766</v>
      </c>
      <c r="G25" s="182" t="s">
        <v>13240</v>
      </c>
      <c r="H25" s="183">
        <v>0</v>
      </c>
      <c r="I25" s="184" t="s">
        <v>1771</v>
      </c>
      <c r="J25" s="184" t="s">
        <v>9501</v>
      </c>
      <c r="K25" s="224"/>
      <c r="L25" s="224"/>
      <c r="M25" s="224"/>
      <c r="N25" s="224"/>
      <c r="O25" s="224"/>
      <c r="P25" s="185"/>
      <c r="Q25" s="225"/>
      <c r="R25" s="182" t="str">
        <f ca="1">IF(ISERROR($V25),"",OFFSET('Smelter Look-up'!$C$4,$V25-4,0)&amp;"")</f>
        <v>Fenix Metals</v>
      </c>
      <c r="S25" s="181" t="str">
        <f t="shared" ca="1" si="3"/>
        <v>PL</v>
      </c>
      <c r="T25" s="181" t="str">
        <f ca="1">IF(B25="","",IF(ISERROR(MATCH($J25,SorP!$B$1:$B$6279,0)),"",INDIRECT("'SorP'!$A$"&amp;MATCH($S25&amp;$J25,SorP!C:C,0))))</f>
        <v>PL-18</v>
      </c>
      <c r="U25" s="201"/>
      <c r="V25" s="226">
        <f>IF(C25="",NA(),IF(OR(C25="Smelter not listed",C25="Smelter not yet identified"),MATCH($B25&amp;$D25,'Smelter Look-up'!$J:$J,0),MATCH($B25&amp;$C25,'Smelter Look-up'!$J:$J,0)))</f>
        <v>430</v>
      </c>
      <c r="X25" s="227">
        <f t="shared" si="4"/>
        <v>0</v>
      </c>
      <c r="AB25" s="228" t="str">
        <f t="shared" si="5"/>
        <v>TinFenix Metals</v>
      </c>
    </row>
    <row r="26" spans="1:28" s="227" customFormat="1" ht="25.5">
      <c r="A26" s="181"/>
      <c r="B26" s="182" t="s">
        <v>1126</v>
      </c>
      <c r="C26" s="186" t="s">
        <v>1027</v>
      </c>
      <c r="D26" s="230"/>
      <c r="E26" s="182" t="s">
        <v>884</v>
      </c>
      <c r="F26" s="182" t="s">
        <v>784</v>
      </c>
      <c r="G26" s="182" t="s">
        <v>13240</v>
      </c>
      <c r="H26" s="183">
        <v>0</v>
      </c>
      <c r="I26" s="184" t="s">
        <v>1795</v>
      </c>
      <c r="J26" s="184" t="s">
        <v>1796</v>
      </c>
      <c r="K26" s="224"/>
      <c r="L26" s="224"/>
      <c r="M26" s="224"/>
      <c r="N26" s="224"/>
      <c r="O26" s="224"/>
      <c r="P26" s="185"/>
      <c r="Q26" s="225"/>
      <c r="R26" s="182" t="str">
        <f ca="1">IF(ISERROR($V26),"",OFFSET('Smelter Look-up'!$C$4,$V26-4,0)&amp;"")</f>
        <v>Thaisarco</v>
      </c>
      <c r="S26" s="181" t="str">
        <f t="shared" ca="1" si="3"/>
        <v>TH</v>
      </c>
      <c r="T26" s="181" t="str">
        <f ca="1">IF(B26="","",IF(ISERROR(MATCH($J26,SorP!$B$1:$B$6279,0)),"",INDIRECT("'SorP'!$A$"&amp;MATCH($S26&amp;$J26,SorP!C:C,0))))</f>
        <v>TH-83</v>
      </c>
      <c r="U26" s="201"/>
      <c r="V26" s="226">
        <f>IF(C26="",NA(),IF(OR(C26="Smelter not listed",C26="Smelter not yet identified"),MATCH($B26&amp;$D26,'Smelter Look-up'!$J:$J,0),MATCH($B26&amp;$C26,'Smelter Look-up'!$J:$J,0)))</f>
        <v>526</v>
      </c>
      <c r="X26" s="227">
        <f t="shared" si="4"/>
        <v>0</v>
      </c>
      <c r="AB26" s="228" t="str">
        <f t="shared" si="5"/>
        <v>TinThaisarco</v>
      </c>
    </row>
    <row r="27" spans="1:28" s="227" customFormat="1" ht="51">
      <c r="A27" s="181"/>
      <c r="B27" s="182" t="s">
        <v>1126</v>
      </c>
      <c r="C27" s="186" t="s">
        <v>13802</v>
      </c>
      <c r="D27" s="230"/>
      <c r="E27" s="182" t="s">
        <v>1101</v>
      </c>
      <c r="F27" s="182" t="s">
        <v>800</v>
      </c>
      <c r="G27" s="182" t="s">
        <v>13240</v>
      </c>
      <c r="H27" s="183">
        <v>0</v>
      </c>
      <c r="I27" s="184" t="s">
        <v>1792</v>
      </c>
      <c r="J27" s="184" t="s">
        <v>6065</v>
      </c>
      <c r="K27" s="224"/>
      <c r="L27" s="224"/>
      <c r="M27" s="224"/>
      <c r="N27" s="224"/>
      <c r="O27" s="224"/>
      <c r="P27" s="185"/>
      <c r="Q27" s="225"/>
      <c r="R27" s="182" t="str">
        <f ca="1">IF(ISERROR($V27),"",OFFSET('Smelter Look-up'!$C$4,$V27-4,0)&amp;"")</f>
        <v>PT Timah Tbk Kundur</v>
      </c>
      <c r="S27" s="181" t="str">
        <f t="shared" ca="1" si="3"/>
        <v>ID</v>
      </c>
      <c r="T27" s="181" t="str">
        <f ca="1">IF(B27="","",IF(ISERROR(MATCH($J27,SorP!$B$1:$B$6279,0)),"",INDIRECT("'SorP'!$A$"&amp;MATCH($S27&amp;$J27,SorP!C:C,0))))</f>
        <v>ID-RI</v>
      </c>
      <c r="U27" s="201"/>
      <c r="V27" s="226">
        <f>IF(C27="",NA(),IF(OR(C27="Smelter not listed",C27="Smelter not yet identified"),MATCH($B27&amp;$D27,'Smelter Look-up'!$J:$J,0),MATCH($B27&amp;$C27,'Smelter Look-up'!$J:$J,0)))</f>
        <v>513</v>
      </c>
      <c r="X27" s="227">
        <f t="shared" si="4"/>
        <v>0</v>
      </c>
      <c r="AB27" s="228" t="str">
        <f t="shared" si="5"/>
        <v>TinPT Timah Tbk Kundur</v>
      </c>
    </row>
    <row r="28" spans="1:28" s="227" customFormat="1" ht="38.25">
      <c r="A28" s="181"/>
      <c r="B28" s="182" t="s">
        <v>1126</v>
      </c>
      <c r="C28" s="186" t="s">
        <v>15470</v>
      </c>
      <c r="D28" s="230"/>
      <c r="E28" s="182" t="s">
        <v>1101</v>
      </c>
      <c r="F28" s="182" t="s">
        <v>15471</v>
      </c>
      <c r="G28" s="182" t="s">
        <v>13240</v>
      </c>
      <c r="H28" s="183">
        <v>0</v>
      </c>
      <c r="I28" s="184" t="s">
        <v>15143</v>
      </c>
      <c r="J28" s="184" t="s">
        <v>12852</v>
      </c>
      <c r="K28" s="224"/>
      <c r="L28" s="224"/>
      <c r="M28" s="224"/>
      <c r="N28" s="224"/>
      <c r="O28" s="224"/>
      <c r="P28" s="185"/>
      <c r="Q28" s="225"/>
      <c r="R28" s="182" t="str">
        <f ca="1">IF(ISERROR($V28),"",OFFSET('Smelter Look-up'!$C$4,$V28-4,0)&amp;"")</f>
        <v>PT Bukit Timah</v>
      </c>
      <c r="S28" s="181" t="str">
        <f t="shared" ca="1" si="3"/>
        <v>ID</v>
      </c>
      <c r="T28" s="181" t="str">
        <f ca="1">IF(B28="","",IF(ISERROR(MATCH($J28,SorP!$B$1:$B$6279,0)),"",INDIRECT("'SorP'!$A$"&amp;MATCH($S28&amp;$J28,SorP!C:C,0))))</f>
        <v>ID-BB</v>
      </c>
      <c r="U28" s="201"/>
      <c r="V28" s="226">
        <f>IF(C28="",NA(),IF(OR(C28="Smelter not listed",C28="Smelter not yet identified"),MATCH($B28&amp;$D28,'Smelter Look-up'!$J:$J,0),MATCH($B28&amp;$C28,'Smelter Look-up'!$J:$J,0)))</f>
        <v>495</v>
      </c>
      <c r="X28" s="227">
        <f t="shared" si="4"/>
        <v>0</v>
      </c>
      <c r="AB28" s="228" t="str">
        <f t="shared" si="5"/>
        <v>TinPT Bukit Timah</v>
      </c>
    </row>
    <row r="29" spans="1:28" s="227" customFormat="1" ht="63.75">
      <c r="A29" s="181"/>
      <c r="B29" s="182" t="s">
        <v>1126</v>
      </c>
      <c r="C29" s="186" t="s">
        <v>15107</v>
      </c>
      <c r="D29" s="230"/>
      <c r="E29" s="182" t="s">
        <v>1101</v>
      </c>
      <c r="F29" s="182" t="s">
        <v>15108</v>
      </c>
      <c r="G29" s="182" t="s">
        <v>13240</v>
      </c>
      <c r="H29" s="183">
        <v>0</v>
      </c>
      <c r="I29" s="184" t="s">
        <v>15146</v>
      </c>
      <c r="J29" s="184" t="s">
        <v>12852</v>
      </c>
      <c r="K29" s="224"/>
      <c r="L29" s="224"/>
      <c r="M29" s="224"/>
      <c r="N29" s="224"/>
      <c r="O29" s="224"/>
      <c r="P29" s="185"/>
      <c r="Q29" s="225"/>
      <c r="R29" s="182" t="str">
        <f ca="1">IF(ISERROR($V29),"",OFFSET('Smelter Look-up'!$C$4,$V29-4,0)&amp;"")</f>
        <v>PT Babel Surya Alam Lestari</v>
      </c>
      <c r="S29" s="181" t="str">
        <f t="shared" ca="1" si="3"/>
        <v>ID</v>
      </c>
      <c r="T29" s="181" t="str">
        <f ca="1">IF(B29="","",IF(ISERROR(MATCH($J29,SorP!$B$1:$B$6279,0)),"",INDIRECT("'SorP'!$A$"&amp;MATCH($S29&amp;$J29,SorP!C:C,0))))</f>
        <v>ID-BB</v>
      </c>
      <c r="U29" s="201"/>
      <c r="V29" s="226">
        <f>IF(C29="",NA(),IF(OR(C29="Smelter not listed",C29="Smelter not yet identified"),MATCH($B29&amp;$D29,'Smelter Look-up'!$J:$J,0),MATCH($B29&amp;$C29,'Smelter Look-up'!$J:$J,0)))</f>
        <v>490</v>
      </c>
      <c r="X29" s="227">
        <f t="shared" si="4"/>
        <v>0</v>
      </c>
      <c r="AB29" s="228" t="str">
        <f t="shared" si="5"/>
        <v>TinPT Babel Surya Alam Lestari</v>
      </c>
    </row>
    <row r="30" spans="1:28" s="227" customFormat="1" ht="51">
      <c r="A30" s="181"/>
      <c r="B30" s="182" t="s">
        <v>1126</v>
      </c>
      <c r="C30" s="186" t="s">
        <v>15113</v>
      </c>
      <c r="D30" s="230"/>
      <c r="E30" s="182" t="s">
        <v>1101</v>
      </c>
      <c r="F30" s="182" t="s">
        <v>15114</v>
      </c>
      <c r="G30" s="182" t="s">
        <v>13240</v>
      </c>
      <c r="H30" s="183">
        <v>0</v>
      </c>
      <c r="I30" s="184" t="s">
        <v>15149</v>
      </c>
      <c r="J30" s="184" t="s">
        <v>12852</v>
      </c>
      <c r="K30" s="224"/>
      <c r="L30" s="224"/>
      <c r="M30" s="224"/>
      <c r="N30" s="224"/>
      <c r="O30" s="224"/>
      <c r="P30" s="185"/>
      <c r="Q30" s="225"/>
      <c r="R30" s="182" t="str">
        <f ca="1">IF(ISERROR($V30),"",OFFSET('Smelter Look-up'!$C$4,$V30-4,0)&amp;"")</f>
        <v>PT Rajawali Rimba Perkasa</v>
      </c>
      <c r="S30" s="181" t="str">
        <f t="shared" ca="1" si="3"/>
        <v>ID</v>
      </c>
      <c r="T30" s="181" t="str">
        <f ca="1">IF(B30="","",IF(ISERROR(MATCH($J30,SorP!$B$1:$B$6279,0)),"",INDIRECT("'SorP'!$A$"&amp;MATCH($S30&amp;$J30,SorP!C:C,0))))</f>
        <v>ID-BB</v>
      </c>
      <c r="U30" s="201"/>
      <c r="V30" s="226">
        <f>IF(C30="",NA(),IF(OR(C30="Smelter not listed",C30="Smelter not yet identified"),MATCH($B30&amp;$D30,'Smelter Look-up'!$J:$J,0),MATCH($B30&amp;$C30,'Smelter Look-up'!$J:$J,0)))</f>
        <v>506</v>
      </c>
      <c r="X30" s="227">
        <f t="shared" si="4"/>
        <v>0</v>
      </c>
      <c r="AB30" s="228" t="str">
        <f t="shared" si="5"/>
        <v>TinPT Rajawali Rimba Perkasa</v>
      </c>
    </row>
    <row r="31" spans="1:28" s="227" customFormat="1" ht="51">
      <c r="A31" s="181"/>
      <c r="B31" s="182" t="s">
        <v>1126</v>
      </c>
      <c r="C31" s="186" t="s">
        <v>2157</v>
      </c>
      <c r="D31" s="230"/>
      <c r="E31" s="182" t="s">
        <v>1101</v>
      </c>
      <c r="F31" s="182" t="s">
        <v>780</v>
      </c>
      <c r="G31" s="182" t="s">
        <v>13240</v>
      </c>
      <c r="H31" s="183">
        <v>0</v>
      </c>
      <c r="I31" s="184" t="s">
        <v>1767</v>
      </c>
      <c r="J31" s="184" t="s">
        <v>12852</v>
      </c>
      <c r="K31" s="224"/>
      <c r="L31" s="224"/>
      <c r="M31" s="224"/>
      <c r="N31" s="224"/>
      <c r="O31" s="224"/>
      <c r="P31" s="185"/>
      <c r="Q31" s="225"/>
      <c r="R31" s="182" t="str">
        <f ca="1">IF(ISERROR($V31),"",OFFSET('Smelter Look-up'!$C$4,$V31-4,0)&amp;"")</f>
        <v>PT Refined Bangka Tin</v>
      </c>
      <c r="S31" s="181" t="str">
        <f t="shared" ca="1" si="3"/>
        <v>ID</v>
      </c>
      <c r="T31" s="181" t="str">
        <f ca="1">IF(B31="","",IF(ISERROR(MATCH($J31,SorP!$B$1:$B$6279,0)),"",INDIRECT("'SorP'!$A$"&amp;MATCH($S31&amp;$J31,SorP!C:C,0))))</f>
        <v>ID-BB</v>
      </c>
      <c r="U31" s="201"/>
      <c r="V31" s="226">
        <f>IF(C31="",NA(),IF(OR(C31="Smelter not listed",C31="Smelter not yet identified"),MATCH($B31&amp;$D31,'Smelter Look-up'!$J:$J,0),MATCH($B31&amp;$C31,'Smelter Look-up'!$J:$J,0)))</f>
        <v>507</v>
      </c>
      <c r="X31" s="227">
        <f t="shared" si="4"/>
        <v>0</v>
      </c>
      <c r="AB31" s="228" t="str">
        <f t="shared" si="5"/>
        <v>TinPT Refined Bangka Tin</v>
      </c>
    </row>
    <row r="32" spans="1:28" s="227" customFormat="1" ht="51">
      <c r="A32" s="181"/>
      <c r="B32" s="182" t="s">
        <v>1126</v>
      </c>
      <c r="C32" s="186" t="s">
        <v>12936</v>
      </c>
      <c r="D32" s="230"/>
      <c r="E32" s="182" t="s">
        <v>1101</v>
      </c>
      <c r="F32" s="182" t="s">
        <v>14029</v>
      </c>
      <c r="G32" s="182" t="s">
        <v>13240</v>
      </c>
      <c r="H32" s="183">
        <v>0</v>
      </c>
      <c r="I32" s="184" t="s">
        <v>15147</v>
      </c>
      <c r="J32" s="184" t="s">
        <v>12852</v>
      </c>
      <c r="K32" s="224"/>
      <c r="L32" s="224"/>
      <c r="M32" s="224"/>
      <c r="N32" s="224"/>
      <c r="O32" s="224"/>
      <c r="P32" s="185"/>
      <c r="Q32" s="225"/>
      <c r="R32" s="182" t="str">
        <f ca="1">IF(ISERROR($V32),"",OFFSET('Smelter Look-up'!$C$4,$V32-4,0)&amp;"")</f>
        <v>PT Bangka Serumpun</v>
      </c>
      <c r="S32" s="181" t="str">
        <f t="shared" ca="1" si="3"/>
        <v>ID</v>
      </c>
      <c r="T32" s="181" t="str">
        <f ca="1">IF(B32="","",IF(ISERROR(MATCH($J32,SorP!$B$1:$B$6279,0)),"",INDIRECT("'SorP'!$A$"&amp;MATCH($S32&amp;$J32,SorP!C:C,0))))</f>
        <v>ID-BB</v>
      </c>
      <c r="U32" s="201"/>
      <c r="V32" s="226">
        <f>IF(C32="",NA(),IF(OR(C32="Smelter not listed",C32="Smelter not yet identified"),MATCH($B32&amp;$D32,'Smelter Look-up'!$J:$J,0),MATCH($B32&amp;$C32,'Smelter Look-up'!$J:$J,0)))</f>
        <v>492</v>
      </c>
      <c r="X32" s="227">
        <f t="shared" si="4"/>
        <v>0</v>
      </c>
      <c r="AB32" s="228" t="str">
        <f t="shared" si="5"/>
        <v>TinPT Bangka Serumpun</v>
      </c>
    </row>
    <row r="33" spans="1:28" s="227" customFormat="1" ht="63.75">
      <c r="A33" s="181"/>
      <c r="B33" s="182" t="s">
        <v>1126</v>
      </c>
      <c r="C33" s="186" t="s">
        <v>1398</v>
      </c>
      <c r="D33" s="230"/>
      <c r="E33" s="182" t="s">
        <v>1101</v>
      </c>
      <c r="F33" s="182" t="s">
        <v>1399</v>
      </c>
      <c r="G33" s="182" t="s">
        <v>13240</v>
      </c>
      <c r="H33" s="183">
        <v>0</v>
      </c>
      <c r="I33" s="184" t="s">
        <v>1767</v>
      </c>
      <c r="J33" s="184" t="s">
        <v>12852</v>
      </c>
      <c r="K33" s="224"/>
      <c r="L33" s="224"/>
      <c r="M33" s="224"/>
      <c r="N33" s="224"/>
      <c r="O33" s="224"/>
      <c r="P33" s="185"/>
      <c r="Q33" s="225"/>
      <c r="R33" s="182" t="str">
        <f ca="1">IF(ISERROR($V33),"",OFFSET('Smelter Look-up'!$C$4,$V33-4,0)&amp;"")</f>
        <v>PT ATD Makmur Mandiri Jaya</v>
      </c>
      <c r="S33" s="181" t="str">
        <f t="shared" ca="1" si="3"/>
        <v>ID</v>
      </c>
      <c r="T33" s="181" t="str">
        <f ca="1">IF(B33="","",IF(ISERROR(MATCH($J33,SorP!$B$1:$B$6279,0)),"",INDIRECT("'SorP'!$A$"&amp;MATCH($S33&amp;$J33,SorP!C:C,0))))</f>
        <v>ID-BB</v>
      </c>
      <c r="U33" s="201"/>
      <c r="V33" s="226">
        <f>IF(C33="",NA(),IF(OR(C33="Smelter not listed",C33="Smelter not yet identified"),MATCH($B33&amp;$D33,'Smelter Look-up'!$J:$J,0),MATCH($B33&amp;$C33,'Smelter Look-up'!$J:$J,0)))</f>
        <v>488</v>
      </c>
      <c r="X33" s="227">
        <f t="shared" si="4"/>
        <v>0</v>
      </c>
      <c r="AB33" s="228" t="str">
        <f t="shared" si="5"/>
        <v>TinPT ATD Makmur Mandiri Jaya</v>
      </c>
    </row>
    <row r="34" spans="1:28" s="227" customFormat="1" ht="51">
      <c r="A34" s="181"/>
      <c r="B34" s="182" t="s">
        <v>1126</v>
      </c>
      <c r="C34" s="186" t="s">
        <v>627</v>
      </c>
      <c r="D34" s="230"/>
      <c r="E34" s="182" t="s">
        <v>1101</v>
      </c>
      <c r="F34" s="182" t="s">
        <v>779</v>
      </c>
      <c r="G34" s="182" t="s">
        <v>13240</v>
      </c>
      <c r="H34" s="183">
        <v>0</v>
      </c>
      <c r="I34" s="184" t="s">
        <v>1767</v>
      </c>
      <c r="J34" s="184" t="s">
        <v>12852</v>
      </c>
      <c r="K34" s="224"/>
      <c r="L34" s="224"/>
      <c r="M34" s="224"/>
      <c r="N34" s="224"/>
      <c r="O34" s="224"/>
      <c r="P34" s="185"/>
      <c r="Q34" s="225"/>
      <c r="R34" s="182" t="str">
        <f ca="1">IF(ISERROR($V34),"",OFFSET('Smelter Look-up'!$C$4,$V34-4,0)&amp;"")</f>
        <v>PT Mitra Stania Prima</v>
      </c>
      <c r="S34" s="181" t="str">
        <f t="shared" ca="1" si="3"/>
        <v>ID</v>
      </c>
      <c r="T34" s="181" t="str">
        <f ca="1">IF(B34="","",IF(ISERROR(MATCH($J34,SorP!$B$1:$B$6279,0)),"",INDIRECT("'SorP'!$A$"&amp;MATCH($S34&amp;$J34,SorP!C:C,0))))</f>
        <v>ID-BB</v>
      </c>
      <c r="U34" s="201"/>
      <c r="V34" s="226">
        <f>IF(C34="",NA(),IF(OR(C34="Smelter not listed",C34="Smelter not yet identified"),MATCH($B34&amp;$D34,'Smelter Look-up'!$J:$J,0),MATCH($B34&amp;$C34,'Smelter Look-up'!$J:$J,0)))</f>
        <v>500</v>
      </c>
      <c r="X34" s="227">
        <f t="shared" si="4"/>
        <v>0</v>
      </c>
      <c r="AB34" s="228" t="str">
        <f t="shared" si="5"/>
        <v>TinPT Mitra Stania Prima</v>
      </c>
    </row>
    <row r="35" spans="1:28" s="227" customFormat="1" ht="63.75">
      <c r="A35" s="181"/>
      <c r="B35" s="182" t="s">
        <v>1126</v>
      </c>
      <c r="C35" s="186" t="s">
        <v>13853</v>
      </c>
      <c r="D35" s="230"/>
      <c r="E35" s="182" t="s">
        <v>1101</v>
      </c>
      <c r="F35" s="182" t="s">
        <v>13868</v>
      </c>
      <c r="G35" s="182" t="s">
        <v>13240</v>
      </c>
      <c r="H35" s="183">
        <v>0</v>
      </c>
      <c r="I35" s="184" t="s">
        <v>15147</v>
      </c>
      <c r="J35" s="184" t="s">
        <v>12852</v>
      </c>
      <c r="K35" s="224"/>
      <c r="L35" s="224"/>
      <c r="M35" s="224"/>
      <c r="N35" s="224"/>
      <c r="O35" s="224"/>
      <c r="P35" s="185"/>
      <c r="Q35" s="225"/>
      <c r="R35" s="182" t="str">
        <f ca="1">IF(ISERROR($V35),"",OFFSET('Smelter Look-up'!$C$4,$V35-4,0)&amp;"")</f>
        <v>PT Mitra Sukses Globalindo</v>
      </c>
      <c r="S35" s="181" t="str">
        <f t="shared" ca="1" si="3"/>
        <v>ID</v>
      </c>
      <c r="T35" s="181" t="str">
        <f ca="1">IF(B35="","",IF(ISERROR(MATCH($J35,SorP!$B$1:$B$6279,0)),"",INDIRECT("'SorP'!$A$"&amp;MATCH($S35&amp;$J35,SorP!C:C,0))))</f>
        <v>ID-BB</v>
      </c>
      <c r="U35" s="201"/>
      <c r="V35" s="226">
        <f>IF(C35="",NA(),IF(OR(C35="Smelter not listed",C35="Smelter not yet identified"),MATCH($B35&amp;$D35,'Smelter Look-up'!$J:$J,0),MATCH($B35&amp;$C35,'Smelter Look-up'!$J:$J,0)))</f>
        <v>501</v>
      </c>
      <c r="X35" s="227">
        <f t="shared" si="4"/>
        <v>0</v>
      </c>
      <c r="AB35" s="228" t="str">
        <f t="shared" si="5"/>
        <v>TinPT Mitra Sukses Globalindo</v>
      </c>
    </row>
    <row r="36" spans="1:28" s="227" customFormat="1" ht="38.25">
      <c r="A36" s="181"/>
      <c r="B36" s="182" t="s">
        <v>1126</v>
      </c>
      <c r="C36" s="186" t="s">
        <v>838</v>
      </c>
      <c r="D36" s="230"/>
      <c r="E36" s="182" t="s">
        <v>2430</v>
      </c>
      <c r="F36" s="182" t="s">
        <v>764</v>
      </c>
      <c r="G36" s="182" t="s">
        <v>13240</v>
      </c>
      <c r="H36" s="183">
        <v>0</v>
      </c>
      <c r="I36" s="184" t="s">
        <v>1769</v>
      </c>
      <c r="J36" s="184" t="s">
        <v>1769</v>
      </c>
      <c r="K36" s="224"/>
      <c r="L36" s="224"/>
      <c r="M36" s="224"/>
      <c r="N36" s="224"/>
      <c r="O36" s="224"/>
      <c r="P36" s="185"/>
      <c r="Q36" s="225"/>
      <c r="R36" s="182" t="str">
        <f ca="1">IF(ISERROR($V36),"",OFFSET('Smelter Look-up'!$C$4,$V36-4,0)&amp;"")</f>
        <v>EM Vinto</v>
      </c>
      <c r="S36" s="181" t="str">
        <f t="shared" ca="1" si="3"/>
        <v>BO</v>
      </c>
      <c r="T36" s="181" t="str">
        <f ca="1">IF(B36="","",IF(ISERROR(MATCH($J36,SorP!$B$1:$B$6279,0)),"",INDIRECT("'SorP'!$A$"&amp;MATCH($S36&amp;$J36,SorP!C:C,0))))</f>
        <v>BO-O</v>
      </c>
      <c r="U36" s="201"/>
      <c r="V36" s="226">
        <f>IF(C36="",NA(),IF(OR(C36="Smelter not listed",C36="Smelter not yet identified"),MATCH($B36&amp;$D36,'Smelter Look-up'!$J:$J,0),MATCH($B36&amp;$C36,'Smelter Look-up'!$J:$J,0)))</f>
        <v>421</v>
      </c>
      <c r="X36" s="227">
        <f t="shared" si="4"/>
        <v>0</v>
      </c>
      <c r="AB36" s="228" t="str">
        <f t="shared" si="5"/>
        <v>TinEM Vinto</v>
      </c>
    </row>
    <row r="37" spans="1:28" s="227" customFormat="1" ht="63.75">
      <c r="A37" s="181"/>
      <c r="B37" s="182" t="s">
        <v>1126</v>
      </c>
      <c r="C37" s="186" t="s">
        <v>15492</v>
      </c>
      <c r="D37" s="230"/>
      <c r="E37" s="182" t="s">
        <v>1101</v>
      </c>
      <c r="F37" s="182" t="s">
        <v>15493</v>
      </c>
      <c r="G37" s="182" t="s">
        <v>13240</v>
      </c>
      <c r="H37" s="183">
        <v>0</v>
      </c>
      <c r="I37" s="184" t="s">
        <v>15143</v>
      </c>
      <c r="J37" s="184" t="s">
        <v>12852</v>
      </c>
      <c r="K37" s="224"/>
      <c r="L37" s="224"/>
      <c r="M37" s="224"/>
      <c r="N37" s="224"/>
      <c r="O37" s="224"/>
      <c r="P37" s="185"/>
      <c r="Q37" s="225"/>
      <c r="R37" s="182" t="str">
        <f ca="1">IF(ISERROR($V37),"",OFFSET('Smelter Look-up'!$C$4,$V37-4,0)&amp;"")</f>
        <v>PT Sariwiguna Binasentosa</v>
      </c>
      <c r="S37" s="181" t="str">
        <f t="shared" ca="1" si="3"/>
        <v>ID</v>
      </c>
      <c r="T37" s="181" t="str">
        <f ca="1">IF(B37="","",IF(ISERROR(MATCH($J37,SorP!$B$1:$B$6279,0)),"",INDIRECT("'SorP'!$A$"&amp;MATCH($S37&amp;$J37,SorP!C:C,0))))</f>
        <v>ID-BB</v>
      </c>
      <c r="U37" s="201"/>
      <c r="V37" s="226">
        <f>IF(C37="",NA(),IF(OR(C37="Smelter not listed",C37="Smelter not yet identified"),MATCH($B37&amp;$D37,'Smelter Look-up'!$J:$J,0),MATCH($B37&amp;$C37,'Smelter Look-up'!$J:$J,0)))</f>
        <v>508</v>
      </c>
      <c r="X37" s="227">
        <f t="shared" si="4"/>
        <v>0</v>
      </c>
      <c r="AB37" s="228" t="str">
        <f t="shared" si="5"/>
        <v>TinPT Sariwiguna Binasentosa</v>
      </c>
    </row>
    <row r="38" spans="1:28" s="227" customFormat="1" ht="51">
      <c r="A38" s="181"/>
      <c r="B38" s="182" t="s">
        <v>1126</v>
      </c>
      <c r="C38" s="186" t="s">
        <v>15478</v>
      </c>
      <c r="D38" s="230"/>
      <c r="E38" s="182" t="s">
        <v>1101</v>
      </c>
      <c r="F38" s="182" t="s">
        <v>15479</v>
      </c>
      <c r="G38" s="182" t="s">
        <v>13240</v>
      </c>
      <c r="H38" s="183">
        <v>0</v>
      </c>
      <c r="I38" s="184" t="s">
        <v>15480</v>
      </c>
      <c r="J38" s="184" t="s">
        <v>12852</v>
      </c>
      <c r="K38" s="224"/>
      <c r="L38" s="224"/>
      <c r="M38" s="224"/>
      <c r="N38" s="224"/>
      <c r="O38" s="224"/>
      <c r="P38" s="185"/>
      <c r="Q38" s="225"/>
      <c r="R38" s="182" t="str">
        <f ca="1">IF(ISERROR($V38),"",OFFSET('Smelter Look-up'!$C$4,$V38-4,0)&amp;"")</f>
        <v>PT Babel Inti Perkasa</v>
      </c>
      <c r="S38" s="181" t="str">
        <f t="shared" ref="S38:S68" ca="1" si="6">IF(B38="","",IF(ISERROR(MATCH($E38,CL,0)),"Unknown",INDIRECT("'C'!$A$"&amp;MATCH($E38,CL,0)+1)))</f>
        <v>ID</v>
      </c>
      <c r="T38" s="181" t="str">
        <f ca="1">IF(B38="","",IF(ISERROR(MATCH($J38,SorP!$B$1:$B$6279,0)),"",INDIRECT("'SorP'!$A$"&amp;MATCH($S38&amp;$J38,SorP!C:C,0))))</f>
        <v>ID-BB</v>
      </c>
      <c r="U38" s="201"/>
      <c r="V38" s="226">
        <f>IF(C38="",NA(),IF(OR(C38="Smelter not listed",C38="Smelter not yet identified"),MATCH($B38&amp;$D38,'Smelter Look-up'!$J:$J,0),MATCH($B38&amp;$C38,'Smelter Look-up'!$J:$J,0)))</f>
        <v>489</v>
      </c>
      <c r="X38" s="227">
        <f t="shared" ref="X38:X68" si="7">IF(AND(C38="Smelter not listed",OR(LEN(D38)=0,LEN(E38)=0)),1,0)</f>
        <v>0</v>
      </c>
      <c r="AB38" s="228" t="str">
        <f t="shared" ref="AB38:AB68" si="8">B38&amp;C38</f>
        <v>TinPT Babel Inti Perkasa</v>
      </c>
    </row>
    <row r="39" spans="1:28" s="227" customFormat="1" ht="51">
      <c r="A39" s="181"/>
      <c r="B39" s="182" t="s">
        <v>1126</v>
      </c>
      <c r="C39" s="186" t="s">
        <v>15483</v>
      </c>
      <c r="D39" s="230"/>
      <c r="E39" s="182" t="s">
        <v>1101</v>
      </c>
      <c r="F39" s="182" t="s">
        <v>15484</v>
      </c>
      <c r="G39" s="182" t="s">
        <v>13240</v>
      </c>
      <c r="H39" s="183">
        <v>0</v>
      </c>
      <c r="I39" s="184" t="s">
        <v>15485</v>
      </c>
      <c r="J39" s="184" t="s">
        <v>1790</v>
      </c>
      <c r="K39" s="224"/>
      <c r="L39" s="224"/>
      <c r="M39" s="224"/>
      <c r="N39" s="224"/>
      <c r="O39" s="224"/>
      <c r="P39" s="185"/>
      <c r="Q39" s="225"/>
      <c r="R39" s="182" t="str">
        <f ca="1">IF(ISERROR($V39),"",OFFSET('Smelter Look-up'!$C$4,$V39-4,0)&amp;"")</f>
        <v>PT Cipta Persada Mulia</v>
      </c>
      <c r="S39" s="181" t="str">
        <f t="shared" ca="1" si="6"/>
        <v>ID</v>
      </c>
      <c r="T39" s="181" t="str">
        <f ca="1">IF(B39="","",IF(ISERROR(MATCH($J39,SorP!$B$1:$B$6279,0)),"",INDIRECT("'SorP'!$A$"&amp;MATCH($S39&amp;$J39,SorP!C:C,0))))</f>
        <v>ID-KR</v>
      </c>
      <c r="U39" s="201"/>
      <c r="V39" s="226">
        <f>IF(C39="",NA(),IF(OR(C39="Smelter not listed",C39="Smelter not yet identified"),MATCH($B39&amp;$D39,'Smelter Look-up'!$J:$J,0),MATCH($B39&amp;$C39,'Smelter Look-up'!$J:$J,0)))</f>
        <v>496</v>
      </c>
      <c r="X39" s="227">
        <f t="shared" si="7"/>
        <v>0</v>
      </c>
      <c r="AB39" s="228" t="str">
        <f t="shared" si="8"/>
        <v>TinPT Cipta Persada Mulia</v>
      </c>
    </row>
    <row r="40" spans="1:28" s="227" customFormat="1" ht="76.5">
      <c r="A40" s="181"/>
      <c r="B40" s="182" t="s">
        <v>1126</v>
      </c>
      <c r="C40" s="186" t="s">
        <v>817</v>
      </c>
      <c r="D40" s="230"/>
      <c r="E40" s="182" t="s">
        <v>1111</v>
      </c>
      <c r="F40" s="182" t="s">
        <v>771</v>
      </c>
      <c r="G40" s="182" t="s">
        <v>13240</v>
      </c>
      <c r="H40" s="183">
        <v>0</v>
      </c>
      <c r="I40" s="184" t="s">
        <v>1780</v>
      </c>
      <c r="J40" s="184" t="s">
        <v>8688</v>
      </c>
      <c r="K40" s="224"/>
      <c r="L40" s="224"/>
      <c r="M40" s="224"/>
      <c r="N40" s="224"/>
      <c r="O40" s="224"/>
      <c r="P40" s="185"/>
      <c r="Q40" s="225"/>
      <c r="R40" s="182" t="str">
        <f ca="1">IF(ISERROR($V40),"",OFFSET('Smelter Look-up'!$C$4,$V40-4,0)&amp;"")</f>
        <v>Malaysia Smelting Corporation (MSC)</v>
      </c>
      <c r="S40" s="181" t="str">
        <f t="shared" ca="1" si="6"/>
        <v>MY</v>
      </c>
      <c r="T40" s="181" t="str">
        <f ca="1">IF(B40="","",IF(ISERROR(MATCH($J40,SorP!$B$1:$B$6279,0)),"",INDIRECT("'SorP'!$A$"&amp;MATCH($S40&amp;$J40,SorP!C:C,0))))</f>
        <v>MY-07</v>
      </c>
      <c r="U40" s="201"/>
      <c r="V40" s="226">
        <f>IF(C40="",NA(),IF(OR(C40="Smelter not listed",C40="Smelter not yet identified"),MATCH($B40&amp;$D40,'Smelter Look-up'!$J:$J,0),MATCH($B40&amp;$C40,'Smelter Look-up'!$J:$J,0)))</f>
        <v>458</v>
      </c>
      <c r="X40" s="227">
        <f t="shared" si="7"/>
        <v>0</v>
      </c>
      <c r="AB40" s="228" t="str">
        <f t="shared" si="8"/>
        <v>TinMalaysia Smelting Corporation (MSC)</v>
      </c>
    </row>
    <row r="41" spans="1:28" s="227" customFormat="1" ht="89.25">
      <c r="A41" s="181"/>
      <c r="B41" s="182" t="s">
        <v>1126</v>
      </c>
      <c r="C41" s="186" t="s">
        <v>15472</v>
      </c>
      <c r="D41" s="230"/>
      <c r="E41" s="182" t="s">
        <v>1096</v>
      </c>
      <c r="F41" s="182" t="s">
        <v>787</v>
      </c>
      <c r="G41" s="182" t="s">
        <v>13240</v>
      </c>
      <c r="H41" s="183">
        <v>0</v>
      </c>
      <c r="I41" s="184" t="s">
        <v>2446</v>
      </c>
      <c r="J41" s="184" t="s">
        <v>13628</v>
      </c>
      <c r="K41" s="224"/>
      <c r="L41" s="224"/>
      <c r="M41" s="224"/>
      <c r="N41" s="224"/>
      <c r="O41" s="224"/>
      <c r="P41" s="185"/>
      <c r="Q41" s="225"/>
      <c r="R41" s="182" t="str">
        <f ca="1">IF(ISERROR($V41),"",OFFSET('Smelter Look-up'!$C$4,$V41-4,0)&amp;"")</f>
        <v>Tin Smelting Branch of Yunnan Tin Co., Ltd.</v>
      </c>
      <c r="S41" s="181" t="str">
        <f t="shared" ca="1" si="6"/>
        <v>CN</v>
      </c>
      <c r="T41" s="181" t="str">
        <f ca="1">IF(B41="","",IF(ISERROR(MATCH($J41,SorP!$B$1:$B$6279,0)),"",INDIRECT("'SorP'!$A$"&amp;MATCH($S41&amp;$J41,SorP!C:C,0))))</f>
        <v>CN-YN</v>
      </c>
      <c r="U41" s="201"/>
      <c r="V41" s="226">
        <f>IF(C41="",NA(),IF(OR(C41="Smelter not listed",C41="Smelter not yet identified"),MATCH($B41&amp;$D41,'Smelter Look-up'!$J:$J,0),MATCH($B41&amp;$C41,'Smelter Look-up'!$J:$J,0)))</f>
        <v>529</v>
      </c>
      <c r="X41" s="227">
        <f t="shared" si="7"/>
        <v>0</v>
      </c>
      <c r="AB41" s="228" t="str">
        <f t="shared" si="8"/>
        <v>TinTin Smelting Branch of Yunnan Tin Co., Ltd.</v>
      </c>
    </row>
    <row r="42" spans="1:28" s="227" customFormat="1" ht="38.25">
      <c r="A42" s="181"/>
      <c r="B42" s="182" t="s">
        <v>1126</v>
      </c>
      <c r="C42" s="186" t="s">
        <v>13852</v>
      </c>
      <c r="D42" s="230"/>
      <c r="E42" s="182" t="s">
        <v>13105</v>
      </c>
      <c r="F42" s="182" t="s">
        <v>13867</v>
      </c>
      <c r="G42" s="182" t="s">
        <v>13240</v>
      </c>
      <c r="H42" s="183">
        <v>0</v>
      </c>
      <c r="I42" s="184" t="s">
        <v>13879</v>
      </c>
      <c r="J42" s="184" t="s">
        <v>10065</v>
      </c>
      <c r="K42" s="224"/>
      <c r="L42" s="224"/>
      <c r="M42" s="224"/>
      <c r="N42" s="224"/>
      <c r="O42" s="224"/>
      <c r="P42" s="185"/>
      <c r="Q42" s="225"/>
      <c r="R42" s="182" t="str">
        <f ca="1">IF(ISERROR($V42),"",OFFSET('Smelter Look-up'!$C$4,$V42-4,0)&amp;"")</f>
        <v>Luna Smelter, Ltd.</v>
      </c>
      <c r="S42" s="181" t="str">
        <f t="shared" ca="1" si="6"/>
        <v>RW</v>
      </c>
      <c r="T42" s="181" t="str">
        <f ca="1">IF(B42="","",IF(ISERROR(MATCH($J42,SorP!$B$1:$B$6279,0)),"",INDIRECT("'SorP'!$A$"&amp;MATCH($S42&amp;$J42,SorP!C:C,0))))</f>
        <v>RW-01</v>
      </c>
      <c r="U42" s="201"/>
      <c r="V42" s="226">
        <f>IF(C42="",NA(),IF(OR(C42="Smelter not listed",C42="Smelter not yet identified"),MATCH($B42&amp;$D42,'Smelter Look-up'!$J:$J,0),MATCH($B42&amp;$C42,'Smelter Look-up'!$J:$J,0)))</f>
        <v>456</v>
      </c>
      <c r="X42" s="227">
        <f t="shared" si="7"/>
        <v>0</v>
      </c>
      <c r="AB42" s="228" t="str">
        <f t="shared" si="8"/>
        <v>TinLuna Smelter, Ltd.</v>
      </c>
    </row>
    <row r="43" spans="1:28" s="227" customFormat="1" ht="25.5">
      <c r="A43" s="181"/>
      <c r="B43" s="182" t="s">
        <v>1126</v>
      </c>
      <c r="C43" s="186" t="s">
        <v>1030</v>
      </c>
      <c r="D43" s="230"/>
      <c r="E43" s="182" t="s">
        <v>876</v>
      </c>
      <c r="F43" s="182" t="s">
        <v>773</v>
      </c>
      <c r="G43" s="182" t="s">
        <v>13240</v>
      </c>
      <c r="H43" s="183">
        <v>0</v>
      </c>
      <c r="I43" s="184" t="s">
        <v>1785</v>
      </c>
      <c r="J43" s="184" t="s">
        <v>9115</v>
      </c>
      <c r="K43" s="224"/>
      <c r="L43" s="224"/>
      <c r="M43" s="224"/>
      <c r="N43" s="224"/>
      <c r="O43" s="224"/>
      <c r="P43" s="185"/>
      <c r="Q43" s="225"/>
      <c r="R43" s="182" t="str">
        <f ca="1">IF(ISERROR($V43),"",OFFSET('Smelter Look-up'!$C$4,$V43-4,0)&amp;"")</f>
        <v>Minsur</v>
      </c>
      <c r="S43" s="181" t="str">
        <f t="shared" ca="1" si="6"/>
        <v>PE</v>
      </c>
      <c r="T43" s="181" t="str">
        <f ca="1">IF(B43="","",IF(ISERROR(MATCH($J43,SorP!$B$1:$B$6279,0)),"",INDIRECT("'SorP'!$A$"&amp;MATCH($S43&amp;$J43,SorP!C:C,0))))</f>
        <v>PE-ICA</v>
      </c>
      <c r="U43" s="201"/>
      <c r="V43" s="226">
        <f>IF(C43="",NA(),IF(OR(C43="Smelter not listed",C43="Smelter not yet identified"),MATCH($B43&amp;$D43,'Smelter Look-up'!$J:$J,0),MATCH($B43&amp;$C43,'Smelter Look-up'!$J:$J,0)))</f>
        <v>470</v>
      </c>
      <c r="X43" s="227">
        <f t="shared" si="7"/>
        <v>0</v>
      </c>
      <c r="AB43" s="228" t="str">
        <f t="shared" si="8"/>
        <v>TinMinsur</v>
      </c>
    </row>
    <row r="44" spans="1:28" s="227" customFormat="1" ht="20.25">
      <c r="A44" s="181"/>
      <c r="B44" s="182" t="s">
        <v>1126</v>
      </c>
      <c r="C44" s="186" t="s">
        <v>902</v>
      </c>
      <c r="D44" s="230"/>
      <c r="E44" s="182" t="s">
        <v>1104</v>
      </c>
      <c r="F44" s="182" t="s">
        <v>1405</v>
      </c>
      <c r="G44" s="182" t="s">
        <v>13240</v>
      </c>
      <c r="H44" s="183">
        <v>0</v>
      </c>
      <c r="I44" s="184" t="s">
        <v>1574</v>
      </c>
      <c r="J44" s="184" t="s">
        <v>1575</v>
      </c>
      <c r="K44" s="224"/>
      <c r="L44" s="224"/>
      <c r="M44" s="224"/>
      <c r="N44" s="224"/>
      <c r="O44" s="224"/>
      <c r="P44" s="185"/>
      <c r="Q44" s="225"/>
      <c r="R44" s="182" t="str">
        <f ca="1">IF(ISERROR($V44),"",OFFSET('Smelter Look-up'!$C$4,$V44-4,0)&amp;"")</f>
        <v>Dowa</v>
      </c>
      <c r="S44" s="181" t="str">
        <f t="shared" ca="1" si="6"/>
        <v>JP</v>
      </c>
      <c r="T44" s="181" t="str">
        <f ca="1">IF(B44="","",IF(ISERROR(MATCH($J44,SorP!$B$1:$B$6279,0)),"",INDIRECT("'SorP'!$A$"&amp;MATCH($S44&amp;$J44,SorP!C:C,0))))</f>
        <v>JP-05</v>
      </c>
      <c r="U44" s="201"/>
      <c r="V44" s="226">
        <f>IF(C44="",NA(),IF(OR(C44="Smelter not listed",C44="Smelter not yet identified"),MATCH($B44&amp;$D44,'Smelter Look-up'!$J:$J,0),MATCH($B44&amp;$C44,'Smelter Look-up'!$J:$J,0)))</f>
        <v>417</v>
      </c>
      <c r="X44" s="227">
        <f t="shared" si="7"/>
        <v>0</v>
      </c>
      <c r="AB44" s="228" t="str">
        <f t="shared" si="8"/>
        <v>TinDowa</v>
      </c>
    </row>
    <row r="45" spans="1:28" s="227" customFormat="1" ht="102">
      <c r="A45" s="181"/>
      <c r="B45" s="182" t="s">
        <v>1126</v>
      </c>
      <c r="C45" s="186" t="s">
        <v>2528</v>
      </c>
      <c r="D45" s="230"/>
      <c r="E45" s="182" t="s">
        <v>1096</v>
      </c>
      <c r="F45" s="182" t="s">
        <v>2529</v>
      </c>
      <c r="G45" s="182" t="s">
        <v>13240</v>
      </c>
      <c r="H45" s="183">
        <v>0</v>
      </c>
      <c r="I45" s="184" t="s">
        <v>1824</v>
      </c>
      <c r="J45" s="184" t="s">
        <v>13624</v>
      </c>
      <c r="K45" s="224"/>
      <c r="L45" s="224"/>
      <c r="M45" s="224"/>
      <c r="N45" s="224"/>
      <c r="O45" s="224"/>
      <c r="P45" s="185"/>
      <c r="Q45" s="225"/>
      <c r="R45" s="182" t="str">
        <f ca="1">IF(ISERROR($V45),"",OFFSET('Smelter Look-up'!$C$4,$V45-4,0)&amp;"")</f>
        <v>Guangdong Hanhe Non-Ferrous Metal Co., Ltd.</v>
      </c>
      <c r="S45" s="181" t="str">
        <f t="shared" ca="1" si="6"/>
        <v>CN</v>
      </c>
      <c r="T45" s="181" t="str">
        <f ca="1">IF(B45="","",IF(ISERROR(MATCH($J45,SorP!$B$1:$B$6279,0)),"",INDIRECT("'SorP'!$A$"&amp;MATCH($S45&amp;$J45,SorP!C:C,0))))</f>
        <v>CN-GD</v>
      </c>
      <c r="U45" s="201"/>
      <c r="V45" s="226">
        <f>IF(C45="",NA(),IF(OR(C45="Smelter not listed",C45="Smelter not yet identified"),MATCH($B45&amp;$D45,'Smelter Look-up'!$J:$J,0),MATCH($B45&amp;$C45,'Smelter Look-up'!$J:$J,0)))</f>
        <v>442</v>
      </c>
      <c r="X45" s="227">
        <f t="shared" si="7"/>
        <v>0</v>
      </c>
      <c r="AB45" s="228" t="str">
        <f t="shared" si="8"/>
        <v>TinGuangdong Hanhe Non-Ferrous Metal Co., Ltd.</v>
      </c>
    </row>
    <row r="46" spans="1:28" s="227" customFormat="1" ht="38.25">
      <c r="A46" s="181"/>
      <c r="B46" s="182" t="s">
        <v>1126</v>
      </c>
      <c r="C46" s="186" t="s">
        <v>15533</v>
      </c>
      <c r="D46" s="230"/>
      <c r="E46" s="182" t="s">
        <v>1091</v>
      </c>
      <c r="F46" s="182" t="s">
        <v>1815</v>
      </c>
      <c r="G46" s="182" t="s">
        <v>13240</v>
      </c>
      <c r="H46" s="183">
        <v>0</v>
      </c>
      <c r="I46" s="184" t="s">
        <v>1816</v>
      </c>
      <c r="J46" s="184" t="s">
        <v>3153</v>
      </c>
      <c r="K46" s="224"/>
      <c r="L46" s="224"/>
      <c r="M46" s="224"/>
      <c r="N46" s="224"/>
      <c r="O46" s="224"/>
      <c r="P46" s="185"/>
      <c r="Q46" s="225"/>
      <c r="R46" s="182" t="str">
        <f ca="1">IF(ISERROR($V46),"",OFFSET('Smelter Look-up'!$C$4,$V46-4,0)&amp;"")</f>
        <v>Aurubis Beerse</v>
      </c>
      <c r="S46" s="181" t="str">
        <f t="shared" ca="1" si="6"/>
        <v>BE</v>
      </c>
      <c r="T46" s="181" t="str">
        <f ca="1">IF(B46="","",IF(ISERROR(MATCH($J46,SorP!$B$1:$B$6279,0)),"",INDIRECT("'SorP'!$A$"&amp;MATCH($S46&amp;$J46,SorP!C:C,0))))</f>
        <v>BE-VAN</v>
      </c>
      <c r="U46" s="201"/>
      <c r="V46" s="226">
        <f>IF(C46="",NA(),IF(OR(C46="Smelter not listed",C46="Smelter not yet identified"),MATCH($B46&amp;$D46,'Smelter Look-up'!$J:$J,0),MATCH($B46&amp;$C46,'Smelter Look-up'!$J:$J,0)))</f>
        <v>394</v>
      </c>
      <c r="X46" s="227">
        <f t="shared" si="7"/>
        <v>0</v>
      </c>
      <c r="AB46" s="228" t="str">
        <f t="shared" si="8"/>
        <v>TinAurubis Beerse</v>
      </c>
    </row>
    <row r="47" spans="1:28" s="227" customFormat="1" ht="51">
      <c r="A47" s="181"/>
      <c r="B47" s="182" t="s">
        <v>1126</v>
      </c>
      <c r="C47" s="186" t="s">
        <v>12430</v>
      </c>
      <c r="D47" s="230"/>
      <c r="E47" s="182" t="s">
        <v>1092</v>
      </c>
      <c r="F47" s="182" t="s">
        <v>772</v>
      </c>
      <c r="G47" s="182" t="s">
        <v>13240</v>
      </c>
      <c r="H47" s="183">
        <v>0</v>
      </c>
      <c r="I47" s="184" t="s">
        <v>1783</v>
      </c>
      <c r="J47" s="184" t="s">
        <v>1674</v>
      </c>
      <c r="K47" s="224"/>
      <c r="L47" s="224"/>
      <c r="M47" s="224"/>
      <c r="N47" s="224"/>
      <c r="O47" s="224"/>
      <c r="P47" s="185"/>
      <c r="Q47" s="225"/>
      <c r="R47" s="182" t="str">
        <f ca="1">IF(ISERROR($V47),"",OFFSET('Smelter Look-up'!$C$4,$V47-4,0)&amp;"")</f>
        <v>Mineracao Taboca S.A.</v>
      </c>
      <c r="S47" s="181" t="str">
        <f t="shared" ca="1" si="6"/>
        <v>BR</v>
      </c>
      <c r="T47" s="181" t="str">
        <f ca="1">IF(B47="","",IF(ISERROR(MATCH($J47,SorP!$B$1:$B$6279,0)),"",INDIRECT("'SorP'!$A$"&amp;MATCH($S47&amp;$J47,SorP!C:C,0))))</f>
        <v>BR-SP</v>
      </c>
      <c r="U47" s="201"/>
      <c r="V47" s="226">
        <f>IF(C47="",NA(),IF(OR(C47="Smelter not listed",C47="Smelter not yet identified"),MATCH($B47&amp;$D47,'Smelter Look-up'!$J:$J,0),MATCH($B47&amp;$C47,'Smelter Look-up'!$J:$J,0)))</f>
        <v>465</v>
      </c>
      <c r="X47" s="227">
        <f t="shared" si="7"/>
        <v>0</v>
      </c>
      <c r="AB47" s="228" t="str">
        <f t="shared" si="8"/>
        <v>TinMineracao Taboca S.A.</v>
      </c>
    </row>
    <row r="48" spans="1:28" s="227" customFormat="1" ht="76.5">
      <c r="A48" s="181"/>
      <c r="B48" s="182" t="s">
        <v>1126</v>
      </c>
      <c r="C48" s="186" t="s">
        <v>1159</v>
      </c>
      <c r="D48" s="230"/>
      <c r="E48" s="182" t="s">
        <v>1104</v>
      </c>
      <c r="F48" s="182" t="s">
        <v>774</v>
      </c>
      <c r="G48" s="182" t="s">
        <v>13240</v>
      </c>
      <c r="H48" s="183">
        <v>0</v>
      </c>
      <c r="I48" s="184" t="s">
        <v>1541</v>
      </c>
      <c r="J48" s="184" t="s">
        <v>1541</v>
      </c>
      <c r="K48" s="224"/>
      <c r="L48" s="224"/>
      <c r="M48" s="224"/>
      <c r="N48" s="224"/>
      <c r="O48" s="224"/>
      <c r="P48" s="185"/>
      <c r="Q48" s="225"/>
      <c r="R48" s="182" t="str">
        <f ca="1">IF(ISERROR($V48),"",OFFSET('Smelter Look-up'!$C$4,$V48-4,0)&amp;"")</f>
        <v>Mitsubishi Materials Corporation</v>
      </c>
      <c r="S48" s="181" t="str">
        <f t="shared" ca="1" si="6"/>
        <v>JP</v>
      </c>
      <c r="T48" s="181" t="str">
        <f ca="1">IF(B48="","",IF(ISERROR(MATCH($J48,SorP!$B$1:$B$6279,0)),"",INDIRECT("'SorP'!$A$"&amp;MATCH($S48&amp;$J48,SorP!C:C,0))))</f>
        <v>JP-13</v>
      </c>
      <c r="U48" s="201"/>
      <c r="V48" s="226">
        <f>IF(C48="",NA(),IF(OR(C48="Smelter not listed",C48="Smelter not yet identified"),MATCH($B48&amp;$D48,'Smelter Look-up'!$J:$J,0),MATCH($B48&amp;$C48,'Smelter Look-up'!$J:$J,0)))</f>
        <v>471</v>
      </c>
      <c r="X48" s="227">
        <f t="shared" si="7"/>
        <v>0</v>
      </c>
      <c r="AB48" s="228" t="str">
        <f t="shared" si="8"/>
        <v>TinMitsubishi Materials Corporation</v>
      </c>
    </row>
    <row r="49" spans="1:28" s="227" customFormat="1" ht="63.75">
      <c r="A49" s="181"/>
      <c r="B49" s="182" t="s">
        <v>1126</v>
      </c>
      <c r="C49" s="186" t="s">
        <v>13803</v>
      </c>
      <c r="D49" s="230"/>
      <c r="E49" s="182" t="s">
        <v>2430</v>
      </c>
      <c r="F49" s="182" t="s">
        <v>777</v>
      </c>
      <c r="G49" s="182" t="s">
        <v>13240</v>
      </c>
      <c r="H49" s="183">
        <v>0</v>
      </c>
      <c r="I49" s="184" t="s">
        <v>1769</v>
      </c>
      <c r="J49" s="184" t="s">
        <v>1769</v>
      </c>
      <c r="K49" s="224"/>
      <c r="L49" s="224"/>
      <c r="M49" s="224"/>
      <c r="N49" s="224"/>
      <c r="O49" s="224"/>
      <c r="P49" s="185"/>
      <c r="Q49" s="225"/>
      <c r="R49" s="182" t="str">
        <f ca="1">IF(ISERROR($V49),"",OFFSET('Smelter Look-up'!$C$4,$V49-4,0)&amp;"")</f>
        <v>Operaciones Metalurgicas S.A.</v>
      </c>
      <c r="S49" s="181" t="str">
        <f t="shared" ca="1" si="6"/>
        <v>BO</v>
      </c>
      <c r="T49" s="181" t="str">
        <f ca="1">IF(B49="","",IF(ISERROR(MATCH($J49,SorP!$B$1:$B$6279,0)),"",INDIRECT("'SorP'!$A$"&amp;MATCH($S49&amp;$J49,SorP!C:C,0))))</f>
        <v>BO-O</v>
      </c>
      <c r="U49" s="201"/>
      <c r="V49" s="226">
        <f>IF(C49="",NA(),IF(OR(C49="Smelter not listed",C49="Smelter not yet identified"),MATCH($B49&amp;$D49,'Smelter Look-up'!$J:$J,0),MATCH($B49&amp;$C49,'Smelter Look-up'!$J:$J,0)))</f>
        <v>482</v>
      </c>
      <c r="X49" s="227">
        <f t="shared" si="7"/>
        <v>0</v>
      </c>
      <c r="AB49" s="228" t="str">
        <f t="shared" si="8"/>
        <v>TinOperaciones Metalurgicas S.A.</v>
      </c>
    </row>
    <row r="50" spans="1:28" s="227" customFormat="1" ht="63.75">
      <c r="A50" s="181"/>
      <c r="B50" s="182" t="s">
        <v>1126</v>
      </c>
      <c r="C50" s="186" t="s">
        <v>840</v>
      </c>
      <c r="D50" s="230"/>
      <c r="E50" s="182" t="s">
        <v>1101</v>
      </c>
      <c r="F50" s="182" t="s">
        <v>778</v>
      </c>
      <c r="G50" s="182" t="s">
        <v>13240</v>
      </c>
      <c r="H50" s="183">
        <v>0</v>
      </c>
      <c r="I50" s="184" t="s">
        <v>1767</v>
      </c>
      <c r="J50" s="184" t="s">
        <v>12852</v>
      </c>
      <c r="K50" s="224"/>
      <c r="L50" s="224"/>
      <c r="M50" s="224"/>
      <c r="N50" s="224"/>
      <c r="O50" s="224"/>
      <c r="P50" s="185"/>
      <c r="Q50" s="225"/>
      <c r="R50" s="182" t="str">
        <f ca="1">IF(ISERROR($V50),"",OFFSET('Smelter Look-up'!$C$4,$V50-4,0)&amp;"")</f>
        <v>PT Artha Cipta Langgeng</v>
      </c>
      <c r="S50" s="181" t="str">
        <f t="shared" ca="1" si="6"/>
        <v>ID</v>
      </c>
      <c r="T50" s="181" t="str">
        <f ca="1">IF(B50="","",IF(ISERROR(MATCH($J50,SorP!$B$1:$B$6279,0)),"",INDIRECT("'SorP'!$A$"&amp;MATCH($S50&amp;$J50,SorP!C:C,0))))</f>
        <v>ID-BB</v>
      </c>
      <c r="U50" s="201"/>
      <c r="V50" s="226">
        <f>IF(C50="",NA(),IF(OR(C50="Smelter not listed",C50="Smelter not yet identified"),MATCH($B50&amp;$D50,'Smelter Look-up'!$J:$J,0),MATCH($B50&amp;$C50,'Smelter Look-up'!$J:$J,0)))</f>
        <v>487</v>
      </c>
      <c r="X50" s="227">
        <f t="shared" si="7"/>
        <v>0</v>
      </c>
      <c r="AB50" s="228" t="str">
        <f t="shared" si="8"/>
        <v>TinPT Artha Cipta Langgeng</v>
      </c>
    </row>
    <row r="51" spans="1:28" s="227" customFormat="1" ht="51">
      <c r="A51" s="181"/>
      <c r="B51" s="182" t="s">
        <v>1126</v>
      </c>
      <c r="C51" s="186" t="s">
        <v>15109</v>
      </c>
      <c r="D51" s="230"/>
      <c r="E51" s="182" t="s">
        <v>1101</v>
      </c>
      <c r="F51" s="182" t="s">
        <v>15110</v>
      </c>
      <c r="G51" s="182" t="s">
        <v>13240</v>
      </c>
      <c r="H51" s="183">
        <v>0</v>
      </c>
      <c r="I51" s="184" t="s">
        <v>15148</v>
      </c>
      <c r="J51" s="184" t="s">
        <v>12852</v>
      </c>
      <c r="K51" s="224"/>
      <c r="L51" s="224"/>
      <c r="M51" s="224"/>
      <c r="N51" s="224"/>
      <c r="O51" s="224"/>
      <c r="P51" s="185"/>
      <c r="Q51" s="225"/>
      <c r="R51" s="182" t="str">
        <f ca="1">IF(ISERROR($V51),"",OFFSET('Smelter Look-up'!$C$4,$V51-4,0)&amp;"")</f>
        <v>PT Menara Cipta Mulia</v>
      </c>
      <c r="S51" s="181" t="str">
        <f t="shared" ca="1" si="6"/>
        <v>ID</v>
      </c>
      <c r="T51" s="181" t="str">
        <f ca="1">IF(B51="","",IF(ISERROR(MATCH($J51,SorP!$B$1:$B$6279,0)),"",INDIRECT("'SorP'!$A$"&amp;MATCH($S51&amp;$J51,SorP!C:C,0))))</f>
        <v>ID-BB</v>
      </c>
      <c r="U51" s="201"/>
      <c r="V51" s="226">
        <f>IF(C51="",NA(),IF(OR(C51="Smelter not listed",C51="Smelter not yet identified"),MATCH($B51&amp;$D51,'Smelter Look-up'!$J:$J,0),MATCH($B51&amp;$C51,'Smelter Look-up'!$J:$J,0)))</f>
        <v>499</v>
      </c>
      <c r="X51" s="227">
        <f t="shared" si="7"/>
        <v>0</v>
      </c>
      <c r="AB51" s="228" t="str">
        <f t="shared" si="8"/>
        <v>TinPT Menara Cipta Mulia</v>
      </c>
    </row>
    <row r="52" spans="1:28" s="227" customFormat="1" ht="25.5">
      <c r="A52" s="181"/>
      <c r="B52" s="182" t="s">
        <v>1126</v>
      </c>
      <c r="C52" s="186" t="s">
        <v>782</v>
      </c>
      <c r="D52" s="230"/>
      <c r="E52" s="182" t="s">
        <v>2431</v>
      </c>
      <c r="F52" s="182" t="s">
        <v>783</v>
      </c>
      <c r="G52" s="182" t="s">
        <v>13240</v>
      </c>
      <c r="H52" s="183">
        <v>0</v>
      </c>
      <c r="I52" s="184" t="s">
        <v>13829</v>
      </c>
      <c r="J52" s="184" t="s">
        <v>1701</v>
      </c>
      <c r="K52" s="224"/>
      <c r="L52" s="224"/>
      <c r="M52" s="224"/>
      <c r="N52" s="224"/>
      <c r="O52" s="224"/>
      <c r="P52" s="185"/>
      <c r="Q52" s="225"/>
      <c r="R52" s="182" t="str">
        <f ca="1">IF(ISERROR($V52),"",OFFSET('Smelter Look-up'!$C$4,$V52-4,0)&amp;"")</f>
        <v>Rui Da Hung</v>
      </c>
      <c r="S52" s="181" t="str">
        <f t="shared" ca="1" si="6"/>
        <v>TW</v>
      </c>
      <c r="T52" s="181" t="str">
        <f ca="1">IF(B52="","",IF(ISERROR(MATCH($J52,SorP!$B$1:$B$6279,0)),"",INDIRECT("'SorP'!$A$"&amp;MATCH($S52&amp;$J52,SorP!C:C,0))))</f>
        <v>TW-TAO</v>
      </c>
      <c r="U52" s="201"/>
      <c r="V52" s="226">
        <f>IF(C52="",NA(),IF(OR(C52="Smelter not listed",C52="Smelter not yet identified"),MATCH($B52&amp;$D52,'Smelter Look-up'!$J:$J,0),MATCH($B52&amp;$C52,'Smelter Look-up'!$J:$J,0)))</f>
        <v>521</v>
      </c>
      <c r="X52" s="227">
        <f t="shared" si="7"/>
        <v>0</v>
      </c>
      <c r="AB52" s="228" t="str">
        <f t="shared" si="8"/>
        <v>TinRui Da Hung</v>
      </c>
    </row>
    <row r="53" spans="1:28" s="227" customFormat="1" ht="51">
      <c r="A53" s="181"/>
      <c r="B53" s="182" t="s">
        <v>1126</v>
      </c>
      <c r="C53" s="186" t="s">
        <v>13183</v>
      </c>
      <c r="D53" s="230"/>
      <c r="E53" s="182" t="s">
        <v>2432</v>
      </c>
      <c r="F53" s="182" t="s">
        <v>13184</v>
      </c>
      <c r="G53" s="182" t="s">
        <v>13240</v>
      </c>
      <c r="H53" s="183">
        <v>0</v>
      </c>
      <c r="I53" s="184" t="s">
        <v>13185</v>
      </c>
      <c r="J53" s="184" t="s">
        <v>1737</v>
      </c>
      <c r="K53" s="224"/>
      <c r="L53" s="224"/>
      <c r="M53" s="224"/>
      <c r="N53" s="224"/>
      <c r="O53" s="224"/>
      <c r="P53" s="185"/>
      <c r="Q53" s="225"/>
      <c r="R53" s="182" t="str">
        <f ca="1">IF(ISERROR($V53),"",OFFSET('Smelter Look-up'!$C$4,$V53-4,0)&amp;"")</f>
        <v>Tin Technology &amp; Refining</v>
      </c>
      <c r="S53" s="181" t="str">
        <f t="shared" ca="1" si="6"/>
        <v>US</v>
      </c>
      <c r="T53" s="181" t="str">
        <f ca="1">IF(B53="","",IF(ISERROR(MATCH($J53,SorP!$B$1:$B$6279,0)),"",INDIRECT("'SorP'!$A$"&amp;MATCH($S53&amp;$J53,SorP!C:C,0))))</f>
        <v>US-PA</v>
      </c>
      <c r="U53" s="201"/>
      <c r="V53" s="226">
        <f>IF(C53="",NA(),IF(OR(C53="Smelter not listed",C53="Smelter not yet identified"),MATCH($B53&amp;$D53,'Smelter Look-up'!$J:$J,0),MATCH($B53&amp;$C53,'Smelter Look-up'!$J:$J,0)))</f>
        <v>530</v>
      </c>
      <c r="X53" s="227">
        <f t="shared" si="7"/>
        <v>0</v>
      </c>
      <c r="AB53" s="228" t="str">
        <f t="shared" si="8"/>
        <v>TinTin Technology &amp; Refining</v>
      </c>
    </row>
    <row r="54" spans="1:28" s="227" customFormat="1" ht="38.25">
      <c r="A54" s="181"/>
      <c r="B54" s="182" t="s">
        <v>1126</v>
      </c>
      <c r="C54" s="186" t="s">
        <v>15091</v>
      </c>
      <c r="D54" s="230"/>
      <c r="E54" s="182" t="s">
        <v>1098</v>
      </c>
      <c r="F54" s="182" t="s">
        <v>15092</v>
      </c>
      <c r="G54" s="182" t="s">
        <v>13240</v>
      </c>
      <c r="H54" s="183">
        <v>0</v>
      </c>
      <c r="I54" s="184" t="s">
        <v>3651</v>
      </c>
      <c r="J54" s="184" t="s">
        <v>3651</v>
      </c>
      <c r="K54" s="224"/>
      <c r="L54" s="224"/>
      <c r="M54" s="224"/>
      <c r="N54" s="224"/>
      <c r="O54" s="224"/>
      <c r="P54" s="185"/>
      <c r="Q54" s="225"/>
      <c r="R54" s="182" t="str">
        <f ca="1">IF(ISERROR($V54),"",OFFSET('Smelter Look-up'!$C$4,$V54-4,0)&amp;"")</f>
        <v>CRM Synergies</v>
      </c>
      <c r="S54" s="181" t="str">
        <f t="shared" ca="1" si="6"/>
        <v>ES</v>
      </c>
      <c r="T54" s="181" t="str">
        <f ca="1">IF(B54="","",IF(ISERROR(MATCH($J54,SorP!$B$1:$B$6279,0)),"",INDIRECT("'SorP'!$A$"&amp;MATCH($S54&amp;$J54,SorP!C:C,0))))</f>
        <v>ES-TO</v>
      </c>
      <c r="U54" s="201"/>
      <c r="V54" s="226">
        <f>IF(C54="",NA(),IF(OR(C54="Smelter not listed",C54="Smelter not yet identified"),MATCH($B54&amp;$D54,'Smelter Look-up'!$J:$J,0),MATCH($B54&amp;$C54,'Smelter Look-up'!$J:$J,0)))</f>
        <v>411</v>
      </c>
      <c r="X54" s="227">
        <f t="shared" si="7"/>
        <v>0</v>
      </c>
      <c r="AB54" s="228" t="str">
        <f t="shared" si="8"/>
        <v>TinCRM Synergies</v>
      </c>
    </row>
    <row r="55" spans="1:28" s="227" customFormat="1" ht="89.25">
      <c r="A55" s="181"/>
      <c r="B55" s="182" t="s">
        <v>1126</v>
      </c>
      <c r="C55" s="186" t="s">
        <v>2144</v>
      </c>
      <c r="D55" s="230"/>
      <c r="E55" s="182" t="s">
        <v>1096</v>
      </c>
      <c r="F55" s="182" t="s">
        <v>767</v>
      </c>
      <c r="G55" s="182" t="s">
        <v>13240</v>
      </c>
      <c r="H55" s="183">
        <v>0</v>
      </c>
      <c r="I55" s="184" t="s">
        <v>2446</v>
      </c>
      <c r="J55" s="184" t="s">
        <v>13628</v>
      </c>
      <c r="K55" s="224"/>
      <c r="L55" s="224"/>
      <c r="M55" s="224"/>
      <c r="N55" s="224"/>
      <c r="O55" s="224"/>
      <c r="P55" s="185"/>
      <c r="Q55" s="225"/>
      <c r="R55" s="182" t="str">
        <f ca="1">IF(ISERROR($V55),"",OFFSET('Smelter Look-up'!$C$4,$V55-4,0)&amp;"")</f>
        <v>Gejiu Non-Ferrous Metal Processing Co., Ltd.</v>
      </c>
      <c r="S55" s="181" t="str">
        <f t="shared" ca="1" si="6"/>
        <v>CN</v>
      </c>
      <c r="T55" s="181" t="str">
        <f ca="1">IF(B55="","",IF(ISERROR(MATCH($J55,SorP!$B$1:$B$6279,0)),"",INDIRECT("'SorP'!$A$"&amp;MATCH($S55&amp;$J55,SorP!C:C,0))))</f>
        <v>CN-YN</v>
      </c>
      <c r="U55" s="201"/>
      <c r="V55" s="226">
        <f>IF(C55="",NA(),IF(OR(C55="Smelter not listed",C55="Smelter not yet identified"),MATCH($B55&amp;$D55,'Smelter Look-up'!$J:$J,0),MATCH($B55&amp;$C55,'Smelter Look-up'!$J:$J,0)))</f>
        <v>436</v>
      </c>
      <c r="X55" s="227">
        <f t="shared" si="7"/>
        <v>0</v>
      </c>
      <c r="AB55" s="228" t="str">
        <f t="shared" si="8"/>
        <v>TinGejiu Non-Ferrous Metal Processing Co., Ltd.</v>
      </c>
    </row>
    <row r="56" spans="1:28" s="227" customFormat="1" ht="63.75">
      <c r="A56" s="181"/>
      <c r="B56" s="182" t="s">
        <v>1126</v>
      </c>
      <c r="C56" s="186" t="s">
        <v>1322</v>
      </c>
      <c r="D56" s="230"/>
      <c r="E56" s="182" t="s">
        <v>1096</v>
      </c>
      <c r="F56" s="182" t="s">
        <v>770</v>
      </c>
      <c r="G56" s="182" t="s">
        <v>13240</v>
      </c>
      <c r="H56" s="183">
        <v>0</v>
      </c>
      <c r="I56" s="184" t="s">
        <v>1775</v>
      </c>
      <c r="J56" s="184" t="s">
        <v>13603</v>
      </c>
      <c r="K56" s="224"/>
      <c r="L56" s="224"/>
      <c r="M56" s="224"/>
      <c r="N56" s="224"/>
      <c r="O56" s="224"/>
      <c r="P56" s="185"/>
      <c r="Q56" s="225"/>
      <c r="R56" s="182" t="str">
        <f ca="1">IF(ISERROR($V56),"",OFFSET('Smelter Look-up'!$C$4,$V56-4,0)&amp;"")</f>
        <v>China Tin Group Co., Ltd.</v>
      </c>
      <c r="S56" s="181" t="str">
        <f t="shared" ca="1" si="6"/>
        <v>CN</v>
      </c>
      <c r="T56" s="181" t="str">
        <f ca="1">IF(B56="","",IF(ISERROR(MATCH($J56,SorP!$B$1:$B$6279,0)),"",INDIRECT("'SorP'!$A$"&amp;MATCH($S56&amp;$J56,SorP!C:C,0))))</f>
        <v>CN-GX</v>
      </c>
      <c r="U56" s="201"/>
      <c r="V56" s="226">
        <f>IF(C56="",NA(),IF(OR(C56="Smelter not listed",C56="Smelter not yet identified"),MATCH($B56&amp;$D56,'Smelter Look-up'!$J:$J,0),MATCH($B56&amp;$C56,'Smelter Look-up'!$J:$J,0)))</f>
        <v>403</v>
      </c>
      <c r="X56" s="227">
        <f t="shared" si="7"/>
        <v>0</v>
      </c>
      <c r="AB56" s="228" t="str">
        <f t="shared" si="8"/>
        <v>TinChina Tin Group Co., Ltd.</v>
      </c>
    </row>
    <row r="57" spans="1:28" s="227" customFormat="1" ht="102">
      <c r="A57" s="181"/>
      <c r="B57" s="182" t="s">
        <v>1126</v>
      </c>
      <c r="C57" s="186" t="s">
        <v>2166</v>
      </c>
      <c r="D57" s="230"/>
      <c r="E57" s="182" t="s">
        <v>1096</v>
      </c>
      <c r="F57" s="182" t="s">
        <v>786</v>
      </c>
      <c r="G57" s="182" t="s">
        <v>13240</v>
      </c>
      <c r="H57" s="183">
        <v>0</v>
      </c>
      <c r="I57" s="184" t="s">
        <v>2446</v>
      </c>
      <c r="J57" s="184" t="s">
        <v>13628</v>
      </c>
      <c r="K57" s="224"/>
      <c r="L57" s="224"/>
      <c r="M57" s="224"/>
      <c r="N57" s="224"/>
      <c r="O57" s="224"/>
      <c r="P57" s="185"/>
      <c r="Q57" s="225"/>
      <c r="R57" s="182" t="str">
        <f ca="1">IF(ISERROR($V57),"",OFFSET('Smelter Look-up'!$C$4,$V57-4,0)&amp;"")</f>
        <v>Yunnan Chengfeng Non-ferrous Metals Co., Ltd.</v>
      </c>
      <c r="S57" s="181" t="str">
        <f t="shared" ca="1" si="6"/>
        <v>CN</v>
      </c>
      <c r="T57" s="181" t="str">
        <f ca="1">IF(B57="","",IF(ISERROR(MATCH($J57,SorP!$B$1:$B$6279,0)),"",INDIRECT("'SorP'!$A$"&amp;MATCH($S57&amp;$J57,SorP!C:C,0))))</f>
        <v>CN-YN</v>
      </c>
      <c r="U57" s="201"/>
      <c r="V57" s="226">
        <f>IF(C57="",NA(),IF(OR(C57="Smelter not listed",C57="Smelter not yet identified"),MATCH($B57&amp;$D57,'Smelter Look-up'!$J:$J,0),MATCH($B57&amp;$C57,'Smelter Look-up'!$J:$J,0)))</f>
        <v>543</v>
      </c>
      <c r="X57" s="227">
        <f t="shared" si="7"/>
        <v>0</v>
      </c>
      <c r="AB57" s="228" t="str">
        <f t="shared" si="8"/>
        <v>TinYunnan Chengfeng Non-ferrous Metals Co., Ltd.</v>
      </c>
    </row>
    <row r="58" spans="1:28" s="227" customFormat="1" ht="63.75">
      <c r="A58" s="181"/>
      <c r="B58" s="182" t="s">
        <v>1126</v>
      </c>
      <c r="C58" s="186" t="s">
        <v>1396</v>
      </c>
      <c r="D58" s="230"/>
      <c r="E58" s="182" t="s">
        <v>877</v>
      </c>
      <c r="F58" s="182" t="s">
        <v>1397</v>
      </c>
      <c r="G58" s="182" t="s">
        <v>13240</v>
      </c>
      <c r="H58" s="183">
        <v>0</v>
      </c>
      <c r="I58" s="184" t="s">
        <v>12942</v>
      </c>
      <c r="J58" s="184" t="s">
        <v>9451</v>
      </c>
      <c r="K58" s="224"/>
      <c r="L58" s="224"/>
      <c r="M58" s="224"/>
      <c r="N58" s="224"/>
      <c r="O58" s="224"/>
      <c r="P58" s="185"/>
      <c r="Q58" s="225"/>
      <c r="R58" s="182" t="str">
        <f ca="1">IF(ISERROR($V58),"",OFFSET('Smelter Look-up'!$C$4,$V58-4,0)&amp;"")</f>
        <v>O.M. Manufacturing Philippines, Inc.</v>
      </c>
      <c r="S58" s="181" t="str">
        <f t="shared" ca="1" si="6"/>
        <v>PH</v>
      </c>
      <c r="T58" s="181" t="str">
        <f ca="1">IF(B58="","",IF(ISERROR(MATCH($J58,SorP!$B$1:$B$6279,0)),"",INDIRECT("'SorP'!$A$"&amp;MATCH($S58&amp;$J58,SorP!C:C,0))))</f>
        <v>PH-CAV</v>
      </c>
      <c r="U58" s="201"/>
      <c r="V58" s="226">
        <f>IF(C58="",NA(),IF(OR(C58="Smelter not listed",C58="Smelter not yet identified"),MATCH($B58&amp;$D58,'Smelter Look-up'!$J:$J,0),MATCH($B58&amp;$C58,'Smelter Look-up'!$J:$J,0)))</f>
        <v>480</v>
      </c>
      <c r="X58" s="227">
        <f t="shared" si="7"/>
        <v>0</v>
      </c>
      <c r="AB58" s="228" t="str">
        <f t="shared" si="8"/>
        <v>TinO.M. Manufacturing Philippines, Inc.</v>
      </c>
    </row>
    <row r="59" spans="1:28" s="227" customFormat="1" ht="76.5">
      <c r="A59" s="181"/>
      <c r="B59" s="182" t="s">
        <v>1126</v>
      </c>
      <c r="C59" s="186" t="s">
        <v>775</v>
      </c>
      <c r="D59" s="230"/>
      <c r="E59" s="182" t="s">
        <v>884</v>
      </c>
      <c r="F59" s="182" t="s">
        <v>776</v>
      </c>
      <c r="G59" s="182" t="s">
        <v>13240</v>
      </c>
      <c r="H59" s="183">
        <v>0</v>
      </c>
      <c r="I59" s="184" t="s">
        <v>2340</v>
      </c>
      <c r="J59" s="184" t="s">
        <v>11025</v>
      </c>
      <c r="K59" s="224"/>
      <c r="L59" s="224"/>
      <c r="M59" s="224"/>
      <c r="N59" s="224"/>
      <c r="O59" s="224"/>
      <c r="P59" s="185"/>
      <c r="Q59" s="225"/>
      <c r="R59" s="182" t="str">
        <f ca="1">IF(ISERROR($V59),"",OFFSET('Smelter Look-up'!$C$4,$V59-4,0)&amp;"")</f>
        <v>O.M. Manufacturing (Thailand) Co., Ltd.</v>
      </c>
      <c r="S59" s="181" t="str">
        <f t="shared" ca="1" si="6"/>
        <v>TH</v>
      </c>
      <c r="T59" s="181" t="str">
        <f ca="1">IF(B59="","",IF(ISERROR(MATCH($J59,SorP!$B$1:$B$6279,0)),"",INDIRECT("'SorP'!$A$"&amp;MATCH($S59&amp;$J59,SorP!C:C,0))))</f>
        <v>TH-20</v>
      </c>
      <c r="U59" s="201"/>
      <c r="V59" s="226">
        <f>IF(C59="",NA(),IF(OR(C59="Smelter not listed",C59="Smelter not yet identified"),MATCH($B59&amp;$D59,'Smelter Look-up'!$J:$J,0),MATCH($B59&amp;$C59,'Smelter Look-up'!$J:$J,0)))</f>
        <v>479</v>
      </c>
      <c r="X59" s="227">
        <f t="shared" si="7"/>
        <v>0</v>
      </c>
      <c r="AB59" s="228" t="str">
        <f t="shared" si="8"/>
        <v>TinO.M. Manufacturing (Thailand) Co., Ltd.</v>
      </c>
    </row>
    <row r="60" spans="1:28" s="227" customFormat="1" ht="51">
      <c r="A60" s="181"/>
      <c r="B60" s="182" t="s">
        <v>1126</v>
      </c>
      <c r="C60" s="186" t="s">
        <v>2149</v>
      </c>
      <c r="D60" s="230"/>
      <c r="E60" s="182" t="s">
        <v>2432</v>
      </c>
      <c r="F60" s="182" t="s">
        <v>1781</v>
      </c>
      <c r="G60" s="182" t="s">
        <v>13240</v>
      </c>
      <c r="H60" s="183">
        <v>0</v>
      </c>
      <c r="I60" s="184" t="s">
        <v>1782</v>
      </c>
      <c r="J60" s="184" t="s">
        <v>1635</v>
      </c>
      <c r="K60" s="224"/>
      <c r="L60" s="224"/>
      <c r="M60" s="224"/>
      <c r="N60" s="224"/>
      <c r="O60" s="224"/>
      <c r="P60" s="185"/>
      <c r="Q60" s="225"/>
      <c r="R60" s="182" t="str">
        <f ca="1">IF(ISERROR($V60),"",OFFSET('Smelter Look-up'!$C$4,$V60-4,0)&amp;"")</f>
        <v>Metallic Resources, Inc.</v>
      </c>
      <c r="S60" s="181" t="str">
        <f t="shared" ca="1" si="6"/>
        <v>US</v>
      </c>
      <c r="T60" s="181" t="str">
        <f ca="1">IF(B60="","",IF(ISERROR(MATCH($J60,SorP!$B$1:$B$6279,0)),"",INDIRECT("'SorP'!$A$"&amp;MATCH($S60&amp;$J60,SorP!C:C,0))))</f>
        <v>US-OH</v>
      </c>
      <c r="U60" s="201"/>
      <c r="V60" s="226">
        <f>IF(C60="",NA(),IF(OR(C60="Smelter not listed",C60="Smelter not yet identified"),MATCH($B60&amp;$D60,'Smelter Look-up'!$J:$J,0),MATCH($B60&amp;$C60,'Smelter Look-up'!$J:$J,0)))</f>
        <v>462</v>
      </c>
      <c r="X60" s="227">
        <f t="shared" si="7"/>
        <v>0</v>
      </c>
      <c r="AB60" s="228" t="str">
        <f t="shared" si="8"/>
        <v>TinMetallic Resources, Inc.</v>
      </c>
    </row>
    <row r="61" spans="1:28" s="227" customFormat="1" ht="63.75">
      <c r="A61" s="181"/>
      <c r="B61" s="182" t="s">
        <v>1126</v>
      </c>
      <c r="C61" s="186" t="s">
        <v>13181</v>
      </c>
      <c r="D61" s="230"/>
      <c r="E61" s="182" t="s">
        <v>1096</v>
      </c>
      <c r="F61" s="182" t="s">
        <v>1788</v>
      </c>
      <c r="G61" s="182" t="s">
        <v>13240</v>
      </c>
      <c r="H61" s="183">
        <v>0</v>
      </c>
      <c r="I61" s="184" t="s">
        <v>1773</v>
      </c>
      <c r="J61" s="184" t="s">
        <v>13619</v>
      </c>
      <c r="K61" s="224"/>
      <c r="L61" s="224"/>
      <c r="M61" s="224"/>
      <c r="N61" s="224"/>
      <c r="O61" s="224"/>
      <c r="P61" s="185"/>
      <c r="Q61" s="225"/>
      <c r="R61" s="182" t="str">
        <f ca="1">IF(ISERROR($V61),"",OFFSET('Smelter Look-up'!$C$4,$V61-4,0)&amp;"")</f>
        <v>Jiangxi New Nanshan Technology Ltd.</v>
      </c>
      <c r="S61" s="181" t="str">
        <f t="shared" ca="1" si="6"/>
        <v>CN</v>
      </c>
      <c r="T61" s="181" t="str">
        <f ca="1">IF(B61="","",IF(ISERROR(MATCH($J61,SorP!$B$1:$B$6279,0)),"",INDIRECT("'SorP'!$A$"&amp;MATCH($S61&amp;$J61,SorP!C:C,0))))</f>
        <v>CN-JX</v>
      </c>
      <c r="U61" s="201"/>
      <c r="V61" s="226">
        <f>IF(C61="",NA(),IF(OR(C61="Smelter not listed",C61="Smelter not yet identified"),MATCH($B61&amp;$D61,'Smelter Look-up'!$J:$J,0),MATCH($B61&amp;$C61,'Smelter Look-up'!$J:$J,0)))</f>
        <v>450</v>
      </c>
      <c r="X61" s="227">
        <f t="shared" si="7"/>
        <v>0</v>
      </c>
      <c r="AB61" s="228" t="str">
        <f t="shared" si="8"/>
        <v>TinJiangxi New Nanshan Technology Ltd.</v>
      </c>
    </row>
    <row r="62" spans="1:28" s="227" customFormat="1" ht="38.25">
      <c r="A62" s="181"/>
      <c r="B62" s="182" t="s">
        <v>1126</v>
      </c>
      <c r="C62" s="186" t="s">
        <v>15534</v>
      </c>
      <c r="D62" s="230"/>
      <c r="E62" s="182" t="s">
        <v>1098</v>
      </c>
      <c r="F62" s="182" t="s">
        <v>1817</v>
      </c>
      <c r="G62" s="182" t="s">
        <v>13240</v>
      </c>
      <c r="H62" s="183">
        <v>0</v>
      </c>
      <c r="I62" s="184" t="s">
        <v>1818</v>
      </c>
      <c r="J62" s="184" t="s">
        <v>12412</v>
      </c>
      <c r="K62" s="224"/>
      <c r="L62" s="224"/>
      <c r="M62" s="224"/>
      <c r="N62" s="224"/>
      <c r="O62" s="224"/>
      <c r="P62" s="185"/>
      <c r="Q62" s="225"/>
      <c r="R62" s="182" t="str">
        <f ca="1">IF(ISERROR($V62),"",OFFSET('Smelter Look-up'!$C$4,$V62-4,0)&amp;"")</f>
        <v>Aurubis Berango</v>
      </c>
      <c r="S62" s="181" t="str">
        <f t="shared" ca="1" si="6"/>
        <v>ES</v>
      </c>
      <c r="T62" s="181" t="str">
        <f ca="1">IF(B62="","",IF(ISERROR(MATCH($J62,SorP!$B$1:$B$6279,0)),"",INDIRECT("'SorP'!$A$"&amp;MATCH($S62&amp;$J62,SorP!C:C,0))))</f>
        <v>ES-BI</v>
      </c>
      <c r="U62" s="201"/>
      <c r="V62" s="226">
        <f>IF(C62="",NA(),IF(OR(C62="Smelter not listed",C62="Smelter not yet identified"),MATCH($B62&amp;$D62,'Smelter Look-up'!$J:$J,0),MATCH($B62&amp;$C62,'Smelter Look-up'!$J:$J,0)))</f>
        <v>395</v>
      </c>
      <c r="X62" s="227">
        <f t="shared" si="7"/>
        <v>0</v>
      </c>
      <c r="AB62" s="228" t="str">
        <f t="shared" si="8"/>
        <v>TinAurubis Berango</v>
      </c>
    </row>
    <row r="63" spans="1:28" s="227" customFormat="1" ht="102">
      <c r="A63" s="181"/>
      <c r="B63" s="182" t="s">
        <v>1126</v>
      </c>
      <c r="C63" s="186" t="s">
        <v>2335</v>
      </c>
      <c r="D63" s="230"/>
      <c r="E63" s="182" t="s">
        <v>1096</v>
      </c>
      <c r="F63" s="182" t="s">
        <v>2278</v>
      </c>
      <c r="G63" s="182" t="s">
        <v>13240</v>
      </c>
      <c r="H63" s="183">
        <v>0</v>
      </c>
      <c r="I63" s="184" t="s">
        <v>1774</v>
      </c>
      <c r="J63" s="184" t="s">
        <v>13623</v>
      </c>
      <c r="K63" s="224"/>
      <c r="L63" s="224"/>
      <c r="M63" s="224"/>
      <c r="N63" s="224"/>
      <c r="O63" s="224"/>
      <c r="P63" s="185"/>
      <c r="Q63" s="225"/>
      <c r="R63" s="182" t="str">
        <f ca="1">IF(ISERROR($V63),"",OFFSET('Smelter Look-up'!$C$4,$V63-4,0)&amp;"")</f>
        <v>Chenzhou Yunxiang Mining and Metallurgy Co., Ltd.</v>
      </c>
      <c r="S63" s="181" t="str">
        <f t="shared" ca="1" si="6"/>
        <v>CN</v>
      </c>
      <c r="T63" s="181" t="str">
        <f ca="1">IF(B63="","",IF(ISERROR(MATCH($J63,SorP!$B$1:$B$6279,0)),"",INDIRECT("'SorP'!$A$"&amp;MATCH($S63&amp;$J63,SorP!C:C,0))))</f>
        <v>CN-HN</v>
      </c>
      <c r="U63" s="201"/>
      <c r="V63" s="226">
        <f>IF(C63="",NA(),IF(OR(C63="Smelter not listed",C63="Smelter not yet identified"),MATCH($B63&amp;$D63,'Smelter Look-up'!$J:$J,0),MATCH($B63&amp;$C63,'Smelter Look-up'!$J:$J,0)))</f>
        <v>400</v>
      </c>
      <c r="X63" s="227">
        <f t="shared" si="7"/>
        <v>0</v>
      </c>
      <c r="AB63" s="228" t="str">
        <f t="shared" si="8"/>
        <v>TinChenzhou Yunxiang Mining and Metallurgy Co., Ltd.</v>
      </c>
    </row>
    <row r="64" spans="1:28" s="227" customFormat="1" ht="102">
      <c r="A64" s="181"/>
      <c r="B64" s="182" t="s">
        <v>1126</v>
      </c>
      <c r="C64" s="186" t="s">
        <v>15099</v>
      </c>
      <c r="D64" s="230"/>
      <c r="E64" s="182" t="s">
        <v>1092</v>
      </c>
      <c r="F64" s="182" t="s">
        <v>15100</v>
      </c>
      <c r="G64" s="182" t="s">
        <v>13240</v>
      </c>
      <c r="H64" s="183">
        <v>0</v>
      </c>
      <c r="I64" s="184" t="s">
        <v>15144</v>
      </c>
      <c r="J64" s="184" t="s">
        <v>1674</v>
      </c>
      <c r="K64" s="224"/>
      <c r="L64" s="224"/>
      <c r="M64" s="224"/>
      <c r="N64" s="224"/>
      <c r="O64" s="224"/>
      <c r="P64" s="185"/>
      <c r="Q64" s="225"/>
      <c r="R64" s="182" t="str">
        <f ca="1">IF(ISERROR($V64),"",OFFSET('Smelter Look-up'!$C$4,$V64-4,0)&amp;"")</f>
        <v>Fabrica Auricchio Industria e Comercio Ltda.</v>
      </c>
      <c r="S64" s="181" t="str">
        <f t="shared" ca="1" si="6"/>
        <v>BR</v>
      </c>
      <c r="T64" s="181" t="str">
        <f ca="1">IF(B64="","",IF(ISERROR(MATCH($J64,SorP!$B$1:$B$6279,0)),"",INDIRECT("'SorP'!$A$"&amp;MATCH($S64&amp;$J64,SorP!C:C,0))))</f>
        <v>BR-SP</v>
      </c>
      <c r="U64" s="201"/>
      <c r="V64" s="226">
        <f>IF(C64="",NA(),IF(OR(C64="Smelter not listed",C64="Smelter not yet identified"),MATCH($B64&amp;$D64,'Smelter Look-up'!$J:$J,0),MATCH($B64&amp;$C64,'Smelter Look-up'!$J:$J,0)))</f>
        <v>429</v>
      </c>
      <c r="X64" s="227">
        <f t="shared" si="7"/>
        <v>0</v>
      </c>
      <c r="AB64" s="228" t="str">
        <f t="shared" si="8"/>
        <v>TinFabrica Auricchio Industria e Comercio Ltda.</v>
      </c>
    </row>
    <row r="65" spans="1:28" s="227" customFormat="1" ht="38.25">
      <c r="A65" s="181"/>
      <c r="B65" s="182" t="s">
        <v>1126</v>
      </c>
      <c r="C65" s="186" t="s">
        <v>15499</v>
      </c>
      <c r="D65" s="230"/>
      <c r="E65" s="182" t="s">
        <v>1101</v>
      </c>
      <c r="F65" s="182" t="s">
        <v>15500</v>
      </c>
      <c r="G65" s="182" t="s">
        <v>13240</v>
      </c>
      <c r="H65" s="183">
        <v>0</v>
      </c>
      <c r="I65" s="184" t="s">
        <v>15501</v>
      </c>
      <c r="J65" s="184" t="s">
        <v>12852</v>
      </c>
      <c r="K65" s="224"/>
      <c r="L65" s="224"/>
      <c r="M65" s="224"/>
      <c r="N65" s="224"/>
      <c r="O65" s="224"/>
      <c r="P65" s="185"/>
      <c r="Q65" s="225"/>
      <c r="R65" s="182" t="str">
        <f ca="1">IF(ISERROR($V65),"",OFFSET('Smelter Look-up'!$C$4,$V65-4,0)&amp;"")</f>
        <v>PT Tommy Utama</v>
      </c>
      <c r="S65" s="181" t="str">
        <f t="shared" ca="1" si="6"/>
        <v>ID</v>
      </c>
      <c r="T65" s="181" t="str">
        <f ca="1">IF(B65="","",IF(ISERROR(MATCH($J65,SorP!$B$1:$B$6279,0)),"",INDIRECT("'SorP'!$A$"&amp;MATCH($S65&amp;$J65,SorP!C:C,0))))</f>
        <v>ID-BB</v>
      </c>
      <c r="U65" s="201"/>
      <c r="V65" s="226">
        <f>IF(C65="",NA(),IF(OR(C65="Smelter not listed",C65="Smelter not yet identified"),MATCH($B65&amp;$D65,'Smelter Look-up'!$J:$J,0),MATCH($B65&amp;$C65,'Smelter Look-up'!$J:$J,0)))</f>
        <v>517</v>
      </c>
      <c r="X65" s="227">
        <f t="shared" si="7"/>
        <v>0</v>
      </c>
      <c r="AB65" s="228" t="str">
        <f t="shared" si="8"/>
        <v>TinPT Tommy Utama</v>
      </c>
    </row>
    <row r="66" spans="1:28" s="227" customFormat="1" ht="51">
      <c r="A66" s="181"/>
      <c r="B66" s="182" t="s">
        <v>1126</v>
      </c>
      <c r="C66" s="186" t="s">
        <v>15096</v>
      </c>
      <c r="D66" s="230"/>
      <c r="E66" s="182" t="s">
        <v>1101</v>
      </c>
      <c r="F66" s="182" t="s">
        <v>15097</v>
      </c>
      <c r="G66" s="182" t="s">
        <v>13240</v>
      </c>
      <c r="H66" s="183">
        <v>0</v>
      </c>
      <c r="I66" s="184" t="s">
        <v>15143</v>
      </c>
      <c r="J66" s="184" t="s">
        <v>12852</v>
      </c>
      <c r="K66" s="224"/>
      <c r="L66" s="224"/>
      <c r="M66" s="224"/>
      <c r="N66" s="224"/>
      <c r="O66" s="224"/>
      <c r="P66" s="185"/>
      <c r="Q66" s="225"/>
      <c r="R66" s="182" t="str">
        <f ca="1">IF(ISERROR($V66),"",OFFSET('Smelter Look-up'!$C$4,$V66-4,0)&amp;"")</f>
        <v>CV Venus Inti Perkasa</v>
      </c>
      <c r="S66" s="181" t="str">
        <f t="shared" ca="1" si="6"/>
        <v>ID</v>
      </c>
      <c r="T66" s="181" t="str">
        <f ca="1">IF(B66="","",IF(ISERROR(MATCH($J66,SorP!$B$1:$B$6279,0)),"",INDIRECT("'SorP'!$A$"&amp;MATCH($S66&amp;$J66,SorP!C:C,0))))</f>
        <v>ID-BB</v>
      </c>
      <c r="U66" s="201"/>
      <c r="V66" s="226">
        <f>IF(C66="",NA(),IF(OR(C66="Smelter not listed",C66="Smelter not yet identified"),MATCH($B66&amp;$D66,'Smelter Look-up'!$J:$J,0),MATCH($B66&amp;$C66,'Smelter Look-up'!$J:$J,0)))</f>
        <v>415</v>
      </c>
      <c r="X66" s="227">
        <f t="shared" si="7"/>
        <v>0</v>
      </c>
      <c r="AB66" s="228" t="str">
        <f t="shared" si="8"/>
        <v>TinCV Venus Inti Perkasa</v>
      </c>
    </row>
    <row r="67" spans="1:28" s="227" customFormat="1" ht="76.5">
      <c r="A67" s="181"/>
      <c r="B67" s="182" t="s">
        <v>1126</v>
      </c>
      <c r="C67" s="186" t="s">
        <v>15490</v>
      </c>
      <c r="D67" s="230"/>
      <c r="E67" s="182" t="s">
        <v>1101</v>
      </c>
      <c r="F67" s="182" t="s">
        <v>15491</v>
      </c>
      <c r="G67" s="182" t="s">
        <v>13240</v>
      </c>
      <c r="H67" s="183">
        <v>0</v>
      </c>
      <c r="I67" s="184" t="s">
        <v>1767</v>
      </c>
      <c r="J67" s="184" t="s">
        <v>12852</v>
      </c>
      <c r="K67" s="224"/>
      <c r="L67" s="224"/>
      <c r="M67" s="224"/>
      <c r="N67" s="224"/>
      <c r="O67" s="224"/>
      <c r="P67" s="185"/>
      <c r="Q67" s="225"/>
      <c r="R67" s="182" t="str">
        <f ca="1">IF(ISERROR($V67),"",OFFSET('Smelter Look-up'!$C$4,$V67-4,0)&amp;"")</f>
        <v>PT Putera Sarana Shakti (PT PSS)</v>
      </c>
      <c r="S67" s="181" t="str">
        <f t="shared" ca="1" si="6"/>
        <v>ID</v>
      </c>
      <c r="T67" s="181" t="str">
        <f ca="1">IF(B67="","",IF(ISERROR(MATCH($J67,SorP!$B$1:$B$6279,0)),"",INDIRECT("'SorP'!$A$"&amp;MATCH($S67&amp;$J67,SorP!C:C,0))))</f>
        <v>ID-BB</v>
      </c>
      <c r="U67" s="201"/>
      <c r="V67" s="226">
        <f>IF(C67="",NA(),IF(OR(C67="Smelter not listed",C67="Smelter not yet identified"),MATCH($B67&amp;$D67,'Smelter Look-up'!$J:$J,0),MATCH($B67&amp;$C67,'Smelter Look-up'!$J:$J,0)))</f>
        <v>505</v>
      </c>
      <c r="X67" s="227">
        <f t="shared" si="7"/>
        <v>0</v>
      </c>
      <c r="AB67" s="228" t="str">
        <f t="shared" si="8"/>
        <v>TinPT Putera Sarana Shakti (PT PSS)</v>
      </c>
    </row>
    <row r="68" spans="1:28" s="227" customFormat="1" ht="51">
      <c r="A68" s="181"/>
      <c r="B68" s="182" t="s">
        <v>1126</v>
      </c>
      <c r="C68" s="186" t="s">
        <v>15494</v>
      </c>
      <c r="D68" s="230"/>
      <c r="E68" s="182" t="s">
        <v>1101</v>
      </c>
      <c r="F68" s="182" t="s">
        <v>15495</v>
      </c>
      <c r="G68" s="182" t="s">
        <v>13240</v>
      </c>
      <c r="H68" s="183">
        <v>0</v>
      </c>
      <c r="I68" s="184" t="s">
        <v>15550</v>
      </c>
      <c r="J68" s="184" t="s">
        <v>12852</v>
      </c>
      <c r="K68" s="224"/>
      <c r="L68" s="224"/>
      <c r="M68" s="224"/>
      <c r="N68" s="224"/>
      <c r="O68" s="224"/>
      <c r="P68" s="185"/>
      <c r="Q68" s="225"/>
      <c r="R68" s="182" t="str">
        <f ca="1">IF(ISERROR($V68),"",OFFSET('Smelter Look-up'!$C$4,$V68-4,0)&amp;"")</f>
        <v>PT Sukses Inti Makmur</v>
      </c>
      <c r="S68" s="181" t="str">
        <f t="shared" ca="1" si="6"/>
        <v>ID</v>
      </c>
      <c r="T68" s="181" t="str">
        <f ca="1">IF(B68="","",IF(ISERROR(MATCH($J68,SorP!$B$1:$B$6279,0)),"",INDIRECT("'SorP'!$A$"&amp;MATCH($S68&amp;$J68,SorP!C:C,0))))</f>
        <v>ID-BB</v>
      </c>
      <c r="U68" s="201"/>
      <c r="V68" s="226">
        <f>IF(C68="",NA(),IF(OR(C68="Smelter not listed",C68="Smelter not yet identified"),MATCH($B68&amp;$D68,'Smelter Look-up'!$J:$J,0),MATCH($B68&amp;$C68,'Smelter Look-up'!$J:$J,0)))</f>
        <v>510</v>
      </c>
      <c r="X68" s="227">
        <f t="shared" si="7"/>
        <v>0</v>
      </c>
      <c r="AB68" s="228" t="str">
        <f t="shared" si="8"/>
        <v>TinPT Sukses Inti Makmur</v>
      </c>
    </row>
    <row r="69" spans="1:28" s="227" customFormat="1" ht="51">
      <c r="A69" s="181"/>
      <c r="B69" s="182" t="s">
        <v>1126</v>
      </c>
      <c r="C69" s="186" t="s">
        <v>15111</v>
      </c>
      <c r="D69" s="230"/>
      <c r="E69" s="182" t="s">
        <v>1101</v>
      </c>
      <c r="F69" s="182" t="s">
        <v>15112</v>
      </c>
      <c r="G69" s="182" t="s">
        <v>13240</v>
      </c>
      <c r="H69" s="183">
        <v>0</v>
      </c>
      <c r="I69" s="184" t="s">
        <v>15143</v>
      </c>
      <c r="J69" s="184" t="s">
        <v>12852</v>
      </c>
      <c r="K69" s="224"/>
      <c r="L69" s="224"/>
      <c r="M69" s="224"/>
      <c r="N69" s="224"/>
      <c r="O69" s="224"/>
      <c r="P69" s="185"/>
      <c r="Q69" s="225"/>
      <c r="R69" s="182" t="str">
        <f ca="1">IF(ISERROR($V69),"",OFFSET('Smelter Look-up'!$C$4,$V69-4,0)&amp;"")</f>
        <v>PT Prima Timah Utama</v>
      </c>
      <c r="S69" s="181" t="str">
        <f t="shared" ref="S69" ca="1" si="9">IF(B69="","",IF(ISERROR(MATCH($E69,CL,0)),"Unknown",INDIRECT("'C'!$A$"&amp;MATCH($E69,CL,0)+1)))</f>
        <v>ID</v>
      </c>
      <c r="T69" s="181" t="str">
        <f ca="1">IF(B69="","",IF(ISERROR(MATCH($J69,SorP!$B$1:$B$6279,0)),"",INDIRECT("'SorP'!$A$"&amp;MATCH($S69&amp;$J69,SorP!C:C,0))))</f>
        <v>ID-BB</v>
      </c>
      <c r="U69" s="201"/>
      <c r="V69" s="226">
        <f>IF(C69="",NA(),IF(OR(C69="Smelter not listed",C69="Smelter not yet identified"),MATCH($B69&amp;$D69,'Smelter Look-up'!$J:$J,0),MATCH($B69&amp;$C69,'Smelter Look-up'!$J:$J,0)))</f>
        <v>504</v>
      </c>
      <c r="X69" s="227">
        <f t="shared" ref="X69" si="10">IF(AND(C69="Smelter not listed",OR(LEN(D69)=0,LEN(E69)=0)),1,0)</f>
        <v>0</v>
      </c>
      <c r="AB69" s="228" t="str">
        <f t="shared" ref="AB69" si="11">B69&amp;C69</f>
        <v>TinPT Prima Timah Utama</v>
      </c>
    </row>
    <row r="70" spans="1:28" s="227" customFormat="1" ht="89.25">
      <c r="A70" s="181"/>
      <c r="B70" s="182" t="s">
        <v>1126</v>
      </c>
      <c r="C70" s="186" t="s">
        <v>12929</v>
      </c>
      <c r="D70" s="230"/>
      <c r="E70" s="182" t="s">
        <v>1096</v>
      </c>
      <c r="F70" s="182" t="s">
        <v>12930</v>
      </c>
      <c r="G70" s="182" t="s">
        <v>13240</v>
      </c>
      <c r="H70" s="183">
        <v>0</v>
      </c>
      <c r="I70" s="184" t="s">
        <v>12948</v>
      </c>
      <c r="J70" s="184" t="s">
        <v>13602</v>
      </c>
      <c r="K70" s="224"/>
      <c r="L70" s="224"/>
      <c r="M70" s="224"/>
      <c r="N70" s="224"/>
      <c r="O70" s="224"/>
      <c r="P70" s="185"/>
      <c r="Q70" s="225"/>
      <c r="R70" s="182" t="str">
        <f ca="1">IF(ISERROR($V70),"",OFFSET('Smelter Look-up'!$C$4,$V70-4,0)&amp;"")</f>
        <v>Chifeng Dajingzi Tin Industry Co., Ltd.</v>
      </c>
      <c r="S70" s="181" t="str">
        <f t="shared" ref="S70:S101" ca="1" si="12">IF(B70="","",IF(ISERROR(MATCH($E70,CL,0)),"Unknown",INDIRECT("'C'!$A$"&amp;MATCH($E70,CL,0)+1)))</f>
        <v>CN</v>
      </c>
      <c r="T70" s="181" t="str">
        <f ca="1">IF(B70="","",IF(ISERROR(MATCH($J70,SorP!$B$1:$B$6279,0)),"",INDIRECT("'SorP'!$A$"&amp;MATCH($S70&amp;$J70,SorP!C:C,0))))</f>
        <v>CN-NM</v>
      </c>
      <c r="U70" s="201"/>
      <c r="V70" s="226">
        <f>IF(C70="",NA(),IF(OR(C70="Smelter not listed",C70="Smelter not yet identified"),MATCH($B70&amp;$D70,'Smelter Look-up'!$J:$J,0),MATCH($B70&amp;$C70,'Smelter Look-up'!$J:$J,0)))</f>
        <v>401</v>
      </c>
      <c r="X70" s="227">
        <f t="shared" ref="X70:X101" si="13">IF(AND(C70="Smelter not listed",OR(LEN(D70)=0,LEN(E70)=0)),1,0)</f>
        <v>0</v>
      </c>
      <c r="AB70" s="228" t="str">
        <f t="shared" ref="AB70:AB101" si="14">B70&amp;C70</f>
        <v>TinChifeng Dajingzi Tin Industry Co., Ltd.</v>
      </c>
    </row>
    <row r="71" spans="1:28" s="227" customFormat="1" ht="63.75">
      <c r="A71" s="181"/>
      <c r="B71" s="182" t="s">
        <v>1126</v>
      </c>
      <c r="C71" s="186" t="s">
        <v>15094</v>
      </c>
      <c r="D71" s="230"/>
      <c r="E71" s="182" t="s">
        <v>1101</v>
      </c>
      <c r="F71" s="182" t="s">
        <v>15095</v>
      </c>
      <c r="G71" s="182" t="s">
        <v>13240</v>
      </c>
      <c r="H71" s="183">
        <v>0</v>
      </c>
      <c r="I71" s="184" t="s">
        <v>15142</v>
      </c>
      <c r="J71" s="184" t="s">
        <v>12852</v>
      </c>
      <c r="K71" s="224"/>
      <c r="L71" s="224"/>
      <c r="M71" s="224"/>
      <c r="N71" s="224"/>
      <c r="O71" s="224"/>
      <c r="P71" s="185"/>
      <c r="Q71" s="225"/>
      <c r="R71" s="182" t="str">
        <f ca="1">IF(ISERROR($V71),"",OFFSET('Smelter Look-up'!$C$4,$V71-4,0)&amp;"")</f>
        <v>PT Aries Kencana Sejahtera</v>
      </c>
      <c r="S71" s="181" t="str">
        <f t="shared" ca="1" si="12"/>
        <v>ID</v>
      </c>
      <c r="T71" s="181" t="str">
        <f ca="1">IF(B71="","",IF(ISERROR(MATCH($J71,SorP!$B$1:$B$6279,0)),"",INDIRECT("'SorP'!$A$"&amp;MATCH($S71&amp;$J71,SorP!C:C,0))))</f>
        <v>ID-BB</v>
      </c>
      <c r="U71" s="201"/>
      <c r="V71" s="226">
        <f>IF(C71="",NA(),IF(OR(C71="Smelter not listed",C71="Smelter not yet identified"),MATCH($B71&amp;$D71,'Smelter Look-up'!$J:$J,0),MATCH($B71&amp;$C71,'Smelter Look-up'!$J:$J,0)))</f>
        <v>486</v>
      </c>
      <c r="X71" s="227">
        <f t="shared" si="13"/>
        <v>0</v>
      </c>
      <c r="AB71" s="228" t="str">
        <f t="shared" si="14"/>
        <v>TinPT Aries Kencana Sejahtera</v>
      </c>
    </row>
    <row r="72" spans="1:28" s="227" customFormat="1" ht="51">
      <c r="A72" s="181"/>
      <c r="B72" s="182" t="s">
        <v>1126</v>
      </c>
      <c r="C72" s="186" t="s">
        <v>13802</v>
      </c>
      <c r="D72" s="230"/>
      <c r="E72" s="182" t="s">
        <v>1101</v>
      </c>
      <c r="F72" s="182" t="s">
        <v>800</v>
      </c>
      <c r="G72" s="182" t="s">
        <v>13240</v>
      </c>
      <c r="H72" s="183">
        <v>0</v>
      </c>
      <c r="I72" s="184" t="s">
        <v>1792</v>
      </c>
      <c r="J72" s="184" t="s">
        <v>6065</v>
      </c>
      <c r="K72" s="224"/>
      <c r="L72" s="224"/>
      <c r="M72" s="224"/>
      <c r="N72" s="224"/>
      <c r="O72" s="224"/>
      <c r="P72" s="185"/>
      <c r="Q72" s="225"/>
      <c r="R72" s="182" t="str">
        <f ca="1">IF(ISERROR($V72),"",OFFSET('Smelter Look-up'!$C$4,$V72-4,0)&amp;"")</f>
        <v>PT Timah Tbk Kundur</v>
      </c>
      <c r="S72" s="181" t="str">
        <f t="shared" ca="1" si="12"/>
        <v>ID</v>
      </c>
      <c r="T72" s="181" t="str">
        <f ca="1">IF(B72="","",IF(ISERROR(MATCH($J72,SorP!$B$1:$B$6279,0)),"",INDIRECT("'SorP'!$A$"&amp;MATCH($S72&amp;$J72,SorP!C:C,0))))</f>
        <v>ID-RI</v>
      </c>
      <c r="U72" s="201"/>
      <c r="V72" s="226">
        <f>IF(C72="",NA(),IF(OR(C72="Smelter not listed",C72="Smelter not yet identified"),MATCH($B72&amp;$D72,'Smelter Look-up'!$J:$J,0),MATCH($B72&amp;$C72,'Smelter Look-up'!$J:$J,0)))</f>
        <v>513</v>
      </c>
      <c r="X72" s="227">
        <f t="shared" si="13"/>
        <v>0</v>
      </c>
      <c r="AB72" s="228" t="str">
        <f t="shared" si="14"/>
        <v>TinPT Timah Tbk Kundur</v>
      </c>
    </row>
    <row r="73" spans="1:28" s="227" customFormat="1" ht="25.5">
      <c r="A73" s="181"/>
      <c r="B73" s="182" t="s">
        <v>1126</v>
      </c>
      <c r="C73" s="186" t="s">
        <v>811</v>
      </c>
      <c r="D73" s="230"/>
      <c r="E73" s="182" t="s">
        <v>878</v>
      </c>
      <c r="F73" s="182" t="s">
        <v>766</v>
      </c>
      <c r="G73" s="182" t="s">
        <v>13240</v>
      </c>
      <c r="H73" s="183">
        <v>0</v>
      </c>
      <c r="I73" s="184" t="s">
        <v>1771</v>
      </c>
      <c r="J73" s="184" t="s">
        <v>9501</v>
      </c>
      <c r="K73" s="224"/>
      <c r="L73" s="224"/>
      <c r="M73" s="224"/>
      <c r="N73" s="224"/>
      <c r="O73" s="224"/>
      <c r="P73" s="185"/>
      <c r="Q73" s="225"/>
      <c r="R73" s="182" t="str">
        <f ca="1">IF(ISERROR($V73),"",OFFSET('Smelter Look-up'!$C$4,$V73-4,0)&amp;"")</f>
        <v>Fenix Metals</v>
      </c>
      <c r="S73" s="181" t="str">
        <f t="shared" ca="1" si="12"/>
        <v>PL</v>
      </c>
      <c r="T73" s="181" t="str">
        <f ca="1">IF(B73="","",IF(ISERROR(MATCH($J73,SorP!$B$1:$B$6279,0)),"",INDIRECT("'SorP'!$A$"&amp;MATCH($S73&amp;$J73,SorP!C:C,0))))</f>
        <v>PL-18</v>
      </c>
      <c r="U73" s="201"/>
      <c r="V73" s="226">
        <f>IF(C73="",NA(),IF(OR(C73="Smelter not listed",C73="Smelter not yet identified"),MATCH($B73&amp;$D73,'Smelter Look-up'!$J:$J,0),MATCH($B73&amp;$C73,'Smelter Look-up'!$J:$J,0)))</f>
        <v>430</v>
      </c>
      <c r="X73" s="227">
        <f t="shared" si="13"/>
        <v>0</v>
      </c>
      <c r="AB73" s="228" t="str">
        <f t="shared" si="14"/>
        <v>TinFenix Metals</v>
      </c>
    </row>
    <row r="74" spans="1:28" s="227" customFormat="1" ht="51">
      <c r="A74" s="181"/>
      <c r="B74" s="182" t="s">
        <v>1126</v>
      </c>
      <c r="C74" s="186" t="s">
        <v>627</v>
      </c>
      <c r="D74" s="230"/>
      <c r="E74" s="182" t="s">
        <v>1101</v>
      </c>
      <c r="F74" s="182" t="s">
        <v>779</v>
      </c>
      <c r="G74" s="182" t="s">
        <v>13240</v>
      </c>
      <c r="H74" s="183">
        <v>0</v>
      </c>
      <c r="I74" s="184" t="s">
        <v>1767</v>
      </c>
      <c r="J74" s="184" t="s">
        <v>12852</v>
      </c>
      <c r="K74" s="224"/>
      <c r="L74" s="224"/>
      <c r="M74" s="224"/>
      <c r="N74" s="224"/>
      <c r="O74" s="224"/>
      <c r="P74" s="185"/>
      <c r="Q74" s="225"/>
      <c r="R74" s="182" t="str">
        <f ca="1">IF(ISERROR($V74),"",OFFSET('Smelter Look-up'!$C$4,$V74-4,0)&amp;"")</f>
        <v>PT Mitra Stania Prima</v>
      </c>
      <c r="S74" s="181" t="str">
        <f t="shared" ca="1" si="12"/>
        <v>ID</v>
      </c>
      <c r="T74" s="181" t="str">
        <f ca="1">IF(B74="","",IF(ISERROR(MATCH($J74,SorP!$B$1:$B$6279,0)),"",INDIRECT("'SorP'!$A$"&amp;MATCH($S74&amp;$J74,SorP!C:C,0))))</f>
        <v>ID-BB</v>
      </c>
      <c r="U74" s="201"/>
      <c r="V74" s="226">
        <f>IF(C74="",NA(),IF(OR(C74="Smelter not listed",C74="Smelter not yet identified"),MATCH($B74&amp;$D74,'Smelter Look-up'!$J:$J,0),MATCH($B74&amp;$C74,'Smelter Look-up'!$J:$J,0)))</f>
        <v>500</v>
      </c>
      <c r="X74" s="227">
        <f t="shared" si="13"/>
        <v>0</v>
      </c>
      <c r="AB74" s="228" t="str">
        <f t="shared" si="14"/>
        <v>TinPT Mitra Stania Prima</v>
      </c>
    </row>
    <row r="75" spans="1:28" s="227" customFormat="1" ht="51">
      <c r="A75" s="181"/>
      <c r="B75" s="182" t="s">
        <v>1126</v>
      </c>
      <c r="C75" s="186" t="s">
        <v>15109</v>
      </c>
      <c r="D75" s="230"/>
      <c r="E75" s="182" t="s">
        <v>1101</v>
      </c>
      <c r="F75" s="182" t="s">
        <v>15110</v>
      </c>
      <c r="G75" s="182" t="s">
        <v>13240</v>
      </c>
      <c r="H75" s="183">
        <v>0</v>
      </c>
      <c r="I75" s="184" t="s">
        <v>15148</v>
      </c>
      <c r="J75" s="184" t="s">
        <v>12852</v>
      </c>
      <c r="K75" s="224"/>
      <c r="L75" s="224"/>
      <c r="M75" s="224"/>
      <c r="N75" s="224"/>
      <c r="O75" s="224"/>
      <c r="P75" s="185"/>
      <c r="Q75" s="225"/>
      <c r="R75" s="182" t="str">
        <f ca="1">IF(ISERROR($V75),"",OFFSET('Smelter Look-up'!$C$4,$V75-4,0)&amp;"")</f>
        <v>PT Menara Cipta Mulia</v>
      </c>
      <c r="S75" s="181" t="str">
        <f t="shared" ca="1" si="12"/>
        <v>ID</v>
      </c>
      <c r="T75" s="181" t="str">
        <f ca="1">IF(B75="","",IF(ISERROR(MATCH($J75,SorP!$B$1:$B$6279,0)),"",INDIRECT("'SorP'!$A$"&amp;MATCH($S75&amp;$J75,SorP!C:C,0))))</f>
        <v>ID-BB</v>
      </c>
      <c r="U75" s="201"/>
      <c r="V75" s="226">
        <f>IF(C75="",NA(),IF(OR(C75="Smelter not listed",C75="Smelter not yet identified"),MATCH($B75&amp;$D75,'Smelter Look-up'!$J:$J,0),MATCH($B75&amp;$C75,'Smelter Look-up'!$J:$J,0)))</f>
        <v>499</v>
      </c>
      <c r="X75" s="227">
        <f t="shared" si="13"/>
        <v>0</v>
      </c>
      <c r="AB75" s="228" t="str">
        <f t="shared" si="14"/>
        <v>TinPT Menara Cipta Mulia</v>
      </c>
    </row>
    <row r="76" spans="1:28" s="227" customFormat="1" ht="38.25">
      <c r="A76" s="181"/>
      <c r="B76" s="182" t="s">
        <v>1126</v>
      </c>
      <c r="C76" s="186" t="s">
        <v>838</v>
      </c>
      <c r="D76" s="230"/>
      <c r="E76" s="182" t="s">
        <v>2430</v>
      </c>
      <c r="F76" s="182" t="s">
        <v>764</v>
      </c>
      <c r="G76" s="182" t="s">
        <v>13240</v>
      </c>
      <c r="H76" s="183">
        <v>0</v>
      </c>
      <c r="I76" s="184" t="s">
        <v>1769</v>
      </c>
      <c r="J76" s="184" t="s">
        <v>1769</v>
      </c>
      <c r="K76" s="224"/>
      <c r="L76" s="224"/>
      <c r="M76" s="224"/>
      <c r="N76" s="224"/>
      <c r="O76" s="224"/>
      <c r="P76" s="185"/>
      <c r="Q76" s="225"/>
      <c r="R76" s="182" t="str">
        <f ca="1">IF(ISERROR($V76),"",OFFSET('Smelter Look-up'!$C$4,$V76-4,0)&amp;"")</f>
        <v>EM Vinto</v>
      </c>
      <c r="S76" s="181" t="str">
        <f t="shared" ca="1" si="12"/>
        <v>BO</v>
      </c>
      <c r="T76" s="181" t="str">
        <f ca="1">IF(B76="","",IF(ISERROR(MATCH($J76,SorP!$B$1:$B$6279,0)),"",INDIRECT("'SorP'!$A$"&amp;MATCH($S76&amp;$J76,SorP!C:C,0))))</f>
        <v>BO-O</v>
      </c>
      <c r="U76" s="201"/>
      <c r="V76" s="226">
        <f>IF(C76="",NA(),IF(OR(C76="Smelter not listed",C76="Smelter not yet identified"),MATCH($B76&amp;$D76,'Smelter Look-up'!$J:$J,0),MATCH($B76&amp;$C76,'Smelter Look-up'!$J:$J,0)))</f>
        <v>421</v>
      </c>
      <c r="X76" s="227">
        <f t="shared" si="13"/>
        <v>0</v>
      </c>
      <c r="AB76" s="228" t="str">
        <f t="shared" si="14"/>
        <v>TinEM Vinto</v>
      </c>
    </row>
    <row r="77" spans="1:28" s="227" customFormat="1" ht="25.5">
      <c r="A77" s="181"/>
      <c r="B77" s="182" t="s">
        <v>1126</v>
      </c>
      <c r="C77" s="186" t="s">
        <v>1030</v>
      </c>
      <c r="D77" s="230"/>
      <c r="E77" s="182" t="s">
        <v>876</v>
      </c>
      <c r="F77" s="182" t="s">
        <v>773</v>
      </c>
      <c r="G77" s="182" t="s">
        <v>13240</v>
      </c>
      <c r="H77" s="183">
        <v>0</v>
      </c>
      <c r="I77" s="184" t="s">
        <v>1785</v>
      </c>
      <c r="J77" s="184" t="s">
        <v>9115</v>
      </c>
      <c r="K77" s="224"/>
      <c r="L77" s="224"/>
      <c r="M77" s="224"/>
      <c r="N77" s="224"/>
      <c r="O77" s="224"/>
      <c r="P77" s="185"/>
      <c r="Q77" s="225"/>
      <c r="R77" s="182" t="str">
        <f ca="1">IF(ISERROR($V77),"",OFFSET('Smelter Look-up'!$C$4,$V77-4,0)&amp;"")</f>
        <v>Minsur</v>
      </c>
      <c r="S77" s="181" t="str">
        <f t="shared" ca="1" si="12"/>
        <v>PE</v>
      </c>
      <c r="T77" s="181" t="str">
        <f ca="1">IF(B77="","",IF(ISERROR(MATCH($J77,SorP!$B$1:$B$6279,0)),"",INDIRECT("'SorP'!$A$"&amp;MATCH($S77&amp;$J77,SorP!C:C,0))))</f>
        <v>PE-ICA</v>
      </c>
      <c r="U77" s="201"/>
      <c r="V77" s="226">
        <f>IF(C77="",NA(),IF(OR(C77="Smelter not listed",C77="Smelter not yet identified"),MATCH($B77&amp;$D77,'Smelter Look-up'!$J:$J,0),MATCH($B77&amp;$C77,'Smelter Look-up'!$J:$J,0)))</f>
        <v>470</v>
      </c>
      <c r="X77" s="227">
        <f t="shared" si="13"/>
        <v>0</v>
      </c>
      <c r="AB77" s="228" t="str">
        <f t="shared" si="14"/>
        <v>TinMinsur</v>
      </c>
    </row>
    <row r="78" spans="1:28" s="227" customFormat="1" ht="63.75">
      <c r="A78" s="181"/>
      <c r="B78" s="182" t="s">
        <v>1126</v>
      </c>
      <c r="C78" s="186" t="s">
        <v>13803</v>
      </c>
      <c r="D78" s="230"/>
      <c r="E78" s="182" t="s">
        <v>2430</v>
      </c>
      <c r="F78" s="182" t="s">
        <v>777</v>
      </c>
      <c r="G78" s="182" t="s">
        <v>13240</v>
      </c>
      <c r="H78" s="183">
        <v>0</v>
      </c>
      <c r="I78" s="184" t="s">
        <v>1769</v>
      </c>
      <c r="J78" s="184" t="s">
        <v>1769</v>
      </c>
      <c r="K78" s="224"/>
      <c r="L78" s="224"/>
      <c r="M78" s="224"/>
      <c r="N78" s="224"/>
      <c r="O78" s="224"/>
      <c r="P78" s="185"/>
      <c r="Q78" s="225"/>
      <c r="R78" s="182" t="str">
        <f ca="1">IF(ISERROR($V78),"",OFFSET('Smelter Look-up'!$C$4,$V78-4,0)&amp;"")</f>
        <v>Operaciones Metalurgicas S.A.</v>
      </c>
      <c r="S78" s="181" t="str">
        <f t="shared" ca="1" si="12"/>
        <v>BO</v>
      </c>
      <c r="T78" s="181" t="str">
        <f ca="1">IF(B78="","",IF(ISERROR(MATCH($J78,SorP!$B$1:$B$6279,0)),"",INDIRECT("'SorP'!$A$"&amp;MATCH($S78&amp;$J78,SorP!C:C,0))))</f>
        <v>BO-O</v>
      </c>
      <c r="U78" s="201"/>
      <c r="V78" s="226">
        <f>IF(C78="",NA(),IF(OR(C78="Smelter not listed",C78="Smelter not yet identified"),MATCH($B78&amp;$D78,'Smelter Look-up'!$J:$J,0),MATCH($B78&amp;$C78,'Smelter Look-up'!$J:$J,0)))</f>
        <v>482</v>
      </c>
      <c r="X78" s="227">
        <f t="shared" si="13"/>
        <v>0</v>
      </c>
      <c r="AB78" s="228" t="str">
        <f t="shared" si="14"/>
        <v>TinOperaciones Metalurgicas S.A.</v>
      </c>
    </row>
    <row r="79" spans="1:28" s="227" customFormat="1" ht="63.75">
      <c r="A79" s="181"/>
      <c r="B79" s="182" t="s">
        <v>1126</v>
      </c>
      <c r="C79" s="186" t="s">
        <v>1322</v>
      </c>
      <c r="D79" s="230"/>
      <c r="E79" s="182" t="s">
        <v>1096</v>
      </c>
      <c r="F79" s="182" t="s">
        <v>770</v>
      </c>
      <c r="G79" s="182" t="s">
        <v>13240</v>
      </c>
      <c r="H79" s="183">
        <v>0</v>
      </c>
      <c r="I79" s="184" t="s">
        <v>1775</v>
      </c>
      <c r="J79" s="184" t="s">
        <v>13603</v>
      </c>
      <c r="K79" s="224"/>
      <c r="L79" s="224"/>
      <c r="M79" s="224"/>
      <c r="N79" s="224"/>
      <c r="O79" s="224"/>
      <c r="P79" s="185"/>
      <c r="Q79" s="225"/>
      <c r="R79" s="182" t="str">
        <f ca="1">IF(ISERROR($V79),"",OFFSET('Smelter Look-up'!$C$4,$V79-4,0)&amp;"")</f>
        <v>China Tin Group Co., Ltd.</v>
      </c>
      <c r="S79" s="181" t="str">
        <f t="shared" ca="1" si="12"/>
        <v>CN</v>
      </c>
      <c r="T79" s="181" t="str">
        <f ca="1">IF(B79="","",IF(ISERROR(MATCH($J79,SorP!$B$1:$B$6279,0)),"",INDIRECT("'SorP'!$A$"&amp;MATCH($S79&amp;$J79,SorP!C:C,0))))</f>
        <v>CN-GX</v>
      </c>
      <c r="U79" s="201"/>
      <c r="V79" s="226">
        <f>IF(C79="",NA(),IF(OR(C79="Smelter not listed",C79="Smelter not yet identified"),MATCH($B79&amp;$D79,'Smelter Look-up'!$J:$J,0),MATCH($B79&amp;$C79,'Smelter Look-up'!$J:$J,0)))</f>
        <v>403</v>
      </c>
      <c r="X79" s="227">
        <f t="shared" si="13"/>
        <v>0</v>
      </c>
      <c r="AB79" s="228" t="str">
        <f t="shared" si="14"/>
        <v>TinChina Tin Group Co., Ltd.</v>
      </c>
    </row>
    <row r="80" spans="1:28" s="227" customFormat="1" ht="51">
      <c r="A80" s="181"/>
      <c r="B80" s="182" t="s">
        <v>1126</v>
      </c>
      <c r="C80" s="186" t="s">
        <v>13801</v>
      </c>
      <c r="D80" s="230"/>
      <c r="E80" s="182" t="s">
        <v>1101</v>
      </c>
      <c r="F80" s="182" t="s">
        <v>781</v>
      </c>
      <c r="G80" s="182" t="s">
        <v>13240</v>
      </c>
      <c r="H80" s="183">
        <v>0</v>
      </c>
      <c r="I80" s="184" t="s">
        <v>1794</v>
      </c>
      <c r="J80" s="184" t="s">
        <v>12852</v>
      </c>
      <c r="K80" s="224"/>
      <c r="L80" s="224"/>
      <c r="M80" s="224"/>
      <c r="N80" s="224"/>
      <c r="O80" s="224"/>
      <c r="P80" s="185"/>
      <c r="Q80" s="225"/>
      <c r="R80" s="182" t="str">
        <f ca="1">IF(ISERROR($V80),"",OFFSET('Smelter Look-up'!$C$4,$V80-4,0)&amp;"")</f>
        <v>PT Timah Tbk Mentok</v>
      </c>
      <c r="S80" s="181" t="str">
        <f t="shared" ca="1" si="12"/>
        <v>ID</v>
      </c>
      <c r="T80" s="181" t="str">
        <f ca="1">IF(B80="","",IF(ISERROR(MATCH($J80,SorP!$B$1:$B$6279,0)),"",INDIRECT("'SorP'!$A$"&amp;MATCH($S80&amp;$J80,SorP!C:C,0))))</f>
        <v>ID-BB</v>
      </c>
      <c r="U80" s="201"/>
      <c r="V80" s="226">
        <f>IF(C80="",NA(),IF(OR(C80="Smelter not listed",C80="Smelter not yet identified"),MATCH($B80&amp;$D80,'Smelter Look-up'!$J:$J,0),MATCH($B80&amp;$C80,'Smelter Look-up'!$J:$J,0)))</f>
        <v>514</v>
      </c>
      <c r="X80" s="227">
        <f t="shared" si="13"/>
        <v>0</v>
      </c>
      <c r="AB80" s="228" t="str">
        <f t="shared" si="14"/>
        <v>TinPT Timah Tbk Mentok</v>
      </c>
    </row>
    <row r="81" spans="1:28" s="227" customFormat="1" ht="76.5">
      <c r="A81" s="181"/>
      <c r="B81" s="182" t="s">
        <v>1126</v>
      </c>
      <c r="C81" s="186" t="s">
        <v>817</v>
      </c>
      <c r="D81" s="230"/>
      <c r="E81" s="182" t="s">
        <v>1111</v>
      </c>
      <c r="F81" s="182" t="s">
        <v>771</v>
      </c>
      <c r="G81" s="182" t="s">
        <v>13240</v>
      </c>
      <c r="H81" s="183">
        <v>0</v>
      </c>
      <c r="I81" s="184" t="s">
        <v>1780</v>
      </c>
      <c r="J81" s="184" t="s">
        <v>8688</v>
      </c>
      <c r="K81" s="224"/>
      <c r="L81" s="224"/>
      <c r="M81" s="224"/>
      <c r="N81" s="224"/>
      <c r="O81" s="224"/>
      <c r="P81" s="185"/>
      <c r="Q81" s="225"/>
      <c r="R81" s="182" t="str">
        <f ca="1">IF(ISERROR($V81),"",OFFSET('Smelter Look-up'!$C$4,$V81-4,0)&amp;"")</f>
        <v>Malaysia Smelting Corporation (MSC)</v>
      </c>
      <c r="S81" s="181" t="str">
        <f t="shared" ca="1" si="12"/>
        <v>MY</v>
      </c>
      <c r="T81" s="181" t="str">
        <f ca="1">IF(B81="","",IF(ISERROR(MATCH($J81,SorP!$B$1:$B$6279,0)),"",INDIRECT("'SorP'!$A$"&amp;MATCH($S81&amp;$J81,SorP!C:C,0))))</f>
        <v>MY-07</v>
      </c>
      <c r="U81" s="201"/>
      <c r="V81" s="226">
        <f>IF(C81="",NA(),IF(OR(C81="Smelter not listed",C81="Smelter not yet identified"),MATCH($B81&amp;$D81,'Smelter Look-up'!$J:$J,0),MATCH($B81&amp;$C81,'Smelter Look-up'!$J:$J,0)))</f>
        <v>458</v>
      </c>
      <c r="X81" s="227">
        <f t="shared" si="13"/>
        <v>0</v>
      </c>
      <c r="AB81" s="228" t="str">
        <f t="shared" si="14"/>
        <v>TinMalaysia Smelting Corporation (MSC)</v>
      </c>
    </row>
    <row r="82" spans="1:28" s="227" customFormat="1" ht="38.25">
      <c r="A82" s="181"/>
      <c r="B82" s="182" t="s">
        <v>1126</v>
      </c>
      <c r="C82" s="186" t="s">
        <v>15533</v>
      </c>
      <c r="D82" s="230"/>
      <c r="E82" s="182" t="s">
        <v>1091</v>
      </c>
      <c r="F82" s="182" t="s">
        <v>1815</v>
      </c>
      <c r="G82" s="182" t="s">
        <v>13240</v>
      </c>
      <c r="H82" s="183">
        <v>0</v>
      </c>
      <c r="I82" s="184" t="s">
        <v>1816</v>
      </c>
      <c r="J82" s="184" t="s">
        <v>3153</v>
      </c>
      <c r="K82" s="224"/>
      <c r="L82" s="224"/>
      <c r="M82" s="224"/>
      <c r="N82" s="224"/>
      <c r="O82" s="224"/>
      <c r="P82" s="185"/>
      <c r="Q82" s="225"/>
      <c r="R82" s="182" t="str">
        <f ca="1">IF(ISERROR($V82),"",OFFSET('Smelter Look-up'!$C$4,$V82-4,0)&amp;"")</f>
        <v>Aurubis Beerse</v>
      </c>
      <c r="S82" s="181" t="str">
        <f t="shared" ca="1" si="12"/>
        <v>BE</v>
      </c>
      <c r="T82" s="181" t="str">
        <f ca="1">IF(B82="","",IF(ISERROR(MATCH($J82,SorP!$B$1:$B$6279,0)),"",INDIRECT("'SorP'!$A$"&amp;MATCH($S82&amp;$J82,SorP!C:C,0))))</f>
        <v>BE-VAN</v>
      </c>
      <c r="U82" s="201"/>
      <c r="V82" s="226">
        <f>IF(C82="",NA(),IF(OR(C82="Smelter not listed",C82="Smelter not yet identified"),MATCH($B82&amp;$D82,'Smelter Look-up'!$J:$J,0),MATCH($B82&amp;$C82,'Smelter Look-up'!$J:$J,0)))</f>
        <v>394</v>
      </c>
      <c r="X82" s="227">
        <f t="shared" si="13"/>
        <v>0</v>
      </c>
      <c r="AB82" s="228" t="str">
        <f t="shared" si="14"/>
        <v>TinAurubis Beerse</v>
      </c>
    </row>
    <row r="83" spans="1:28" s="227" customFormat="1" ht="38.25">
      <c r="A83" s="181"/>
      <c r="B83" s="182" t="s">
        <v>1126</v>
      </c>
      <c r="C83" s="186" t="s">
        <v>15534</v>
      </c>
      <c r="D83" s="230"/>
      <c r="E83" s="182" t="s">
        <v>1098</v>
      </c>
      <c r="F83" s="182" t="s">
        <v>1817</v>
      </c>
      <c r="G83" s="182" t="s">
        <v>13240</v>
      </c>
      <c r="H83" s="183">
        <v>0</v>
      </c>
      <c r="I83" s="184" t="s">
        <v>1818</v>
      </c>
      <c r="J83" s="184" t="s">
        <v>12412</v>
      </c>
      <c r="K83" s="224"/>
      <c r="L83" s="224"/>
      <c r="M83" s="224"/>
      <c r="N83" s="224"/>
      <c r="O83" s="224"/>
      <c r="P83" s="185"/>
      <c r="Q83" s="225"/>
      <c r="R83" s="182" t="str">
        <f ca="1">IF(ISERROR($V83),"",OFFSET('Smelter Look-up'!$C$4,$V83-4,0)&amp;"")</f>
        <v>Aurubis Berango</v>
      </c>
      <c r="S83" s="181" t="str">
        <f t="shared" ca="1" si="12"/>
        <v>ES</v>
      </c>
      <c r="T83" s="181" t="str">
        <f ca="1">IF(B83="","",IF(ISERROR(MATCH($J83,SorP!$B$1:$B$6279,0)),"",INDIRECT("'SorP'!$A$"&amp;MATCH($S83&amp;$J83,SorP!C:C,0))))</f>
        <v>ES-BI</v>
      </c>
      <c r="U83" s="201"/>
      <c r="V83" s="226">
        <f>IF(C83="",NA(),IF(OR(C83="Smelter not listed",C83="Smelter not yet identified"),MATCH($B83&amp;$D83,'Smelter Look-up'!$J:$J,0),MATCH($B83&amp;$C83,'Smelter Look-up'!$J:$J,0)))</f>
        <v>395</v>
      </c>
      <c r="X83" s="227">
        <f t="shared" si="13"/>
        <v>0</v>
      </c>
      <c r="AB83" s="228" t="str">
        <f t="shared" si="14"/>
        <v>TinAurubis Berango</v>
      </c>
    </row>
    <row r="84" spans="1:28" s="227" customFormat="1" ht="25.5">
      <c r="A84" s="181"/>
      <c r="B84" s="182" t="s">
        <v>1126</v>
      </c>
      <c r="C84" s="186" t="s">
        <v>1027</v>
      </c>
      <c r="D84" s="230"/>
      <c r="E84" s="182" t="s">
        <v>884</v>
      </c>
      <c r="F84" s="182" t="s">
        <v>784</v>
      </c>
      <c r="G84" s="182" t="s">
        <v>13240</v>
      </c>
      <c r="H84" s="183">
        <v>0</v>
      </c>
      <c r="I84" s="184" t="s">
        <v>1795</v>
      </c>
      <c r="J84" s="184" t="s">
        <v>1796</v>
      </c>
      <c r="K84" s="224"/>
      <c r="L84" s="224"/>
      <c r="M84" s="224"/>
      <c r="N84" s="224"/>
      <c r="O84" s="224"/>
      <c r="P84" s="185"/>
      <c r="Q84" s="225"/>
      <c r="R84" s="182" t="str">
        <f ca="1">IF(ISERROR($V84),"",OFFSET('Smelter Look-up'!$C$4,$V84-4,0)&amp;"")</f>
        <v>Thaisarco</v>
      </c>
      <c r="S84" s="181" t="str">
        <f t="shared" ca="1" si="12"/>
        <v>TH</v>
      </c>
      <c r="T84" s="181" t="str">
        <f ca="1">IF(B84="","",IF(ISERROR(MATCH($J84,SorP!$B$1:$B$6279,0)),"",INDIRECT("'SorP'!$A$"&amp;MATCH($S84&amp;$J84,SorP!C:C,0))))</f>
        <v>TH-83</v>
      </c>
      <c r="U84" s="201"/>
      <c r="V84" s="226">
        <f>IF(C84="",NA(),IF(OR(C84="Smelter not listed",C84="Smelter not yet identified"),MATCH($B84&amp;$D84,'Smelter Look-up'!$J:$J,0),MATCH($B84&amp;$C84,'Smelter Look-up'!$J:$J,0)))</f>
        <v>526</v>
      </c>
      <c r="X84" s="227">
        <f t="shared" si="13"/>
        <v>0</v>
      </c>
      <c r="AB84" s="228" t="str">
        <f t="shared" si="14"/>
        <v>TinThaisarco</v>
      </c>
    </row>
    <row r="85" spans="1:28" s="227" customFormat="1" ht="102">
      <c r="A85" s="181"/>
      <c r="B85" s="182" t="s">
        <v>1126</v>
      </c>
      <c r="C85" s="186" t="s">
        <v>2166</v>
      </c>
      <c r="D85" s="230"/>
      <c r="E85" s="182" t="s">
        <v>1096</v>
      </c>
      <c r="F85" s="182" t="s">
        <v>786</v>
      </c>
      <c r="G85" s="182" t="s">
        <v>13240</v>
      </c>
      <c r="H85" s="183">
        <v>0</v>
      </c>
      <c r="I85" s="184" t="s">
        <v>2446</v>
      </c>
      <c r="J85" s="184" t="s">
        <v>13628</v>
      </c>
      <c r="K85" s="224"/>
      <c r="L85" s="224"/>
      <c r="M85" s="224"/>
      <c r="N85" s="224"/>
      <c r="O85" s="224"/>
      <c r="P85" s="185"/>
      <c r="Q85" s="225"/>
      <c r="R85" s="182" t="str">
        <f ca="1">IF(ISERROR($V85),"",OFFSET('Smelter Look-up'!$C$4,$V85-4,0)&amp;"")</f>
        <v>Yunnan Chengfeng Non-ferrous Metals Co., Ltd.</v>
      </c>
      <c r="S85" s="181" t="str">
        <f t="shared" ca="1" si="12"/>
        <v>CN</v>
      </c>
      <c r="T85" s="181" t="str">
        <f ca="1">IF(B85="","",IF(ISERROR(MATCH($J85,SorP!$B$1:$B$6279,0)),"",INDIRECT("'SorP'!$A$"&amp;MATCH($S85&amp;$J85,SorP!C:C,0))))</f>
        <v>CN-YN</v>
      </c>
      <c r="U85" s="201"/>
      <c r="V85" s="226">
        <f>IF(C85="",NA(),IF(OR(C85="Smelter not listed",C85="Smelter not yet identified"),MATCH($B85&amp;$D85,'Smelter Look-up'!$J:$J,0),MATCH($B85&amp;$C85,'Smelter Look-up'!$J:$J,0)))</f>
        <v>543</v>
      </c>
      <c r="X85" s="227">
        <f t="shared" si="13"/>
        <v>0</v>
      </c>
      <c r="AB85" s="228" t="str">
        <f t="shared" si="14"/>
        <v>TinYunnan Chengfeng Non-ferrous Metals Co., Ltd.</v>
      </c>
    </row>
    <row r="86" spans="1:28" s="227" customFormat="1" ht="51">
      <c r="A86" s="181"/>
      <c r="B86" s="182" t="s">
        <v>1126</v>
      </c>
      <c r="C86" s="186" t="s">
        <v>12430</v>
      </c>
      <c r="D86" s="230"/>
      <c r="E86" s="182" t="s">
        <v>1092</v>
      </c>
      <c r="F86" s="182" t="s">
        <v>772</v>
      </c>
      <c r="G86" s="182" t="s">
        <v>13240</v>
      </c>
      <c r="H86" s="183">
        <v>0</v>
      </c>
      <c r="I86" s="184" t="s">
        <v>1783</v>
      </c>
      <c r="J86" s="184" t="s">
        <v>1674</v>
      </c>
      <c r="K86" s="224"/>
      <c r="L86" s="224"/>
      <c r="M86" s="224"/>
      <c r="N86" s="224"/>
      <c r="O86" s="224"/>
      <c r="P86" s="185"/>
      <c r="Q86" s="225"/>
      <c r="R86" s="182" t="str">
        <f ca="1">IF(ISERROR($V86),"",OFFSET('Smelter Look-up'!$C$4,$V86-4,0)&amp;"")</f>
        <v>Mineracao Taboca S.A.</v>
      </c>
      <c r="S86" s="181" t="str">
        <f t="shared" ca="1" si="12"/>
        <v>BR</v>
      </c>
      <c r="T86" s="181" t="str">
        <f ca="1">IF(B86="","",IF(ISERROR(MATCH($J86,SorP!$B$1:$B$6279,0)),"",INDIRECT("'SorP'!$A$"&amp;MATCH($S86&amp;$J86,SorP!C:C,0))))</f>
        <v>BR-SP</v>
      </c>
      <c r="U86" s="201"/>
      <c r="V86" s="226">
        <f>IF(C86="",NA(),IF(OR(C86="Smelter not listed",C86="Smelter not yet identified"),MATCH($B86&amp;$D86,'Smelter Look-up'!$J:$J,0),MATCH($B86&amp;$C86,'Smelter Look-up'!$J:$J,0)))</f>
        <v>465</v>
      </c>
      <c r="X86" s="227">
        <f t="shared" si="13"/>
        <v>0</v>
      </c>
      <c r="AB86" s="228" t="str">
        <f t="shared" si="14"/>
        <v>TinMineracao Taboca S.A.</v>
      </c>
    </row>
    <row r="87" spans="1:28" s="227" customFormat="1" ht="51">
      <c r="A87" s="181"/>
      <c r="B87" s="182" t="s">
        <v>1126</v>
      </c>
      <c r="C87" s="186" t="s">
        <v>15483</v>
      </c>
      <c r="D87" s="230"/>
      <c r="E87" s="182" t="s">
        <v>1101</v>
      </c>
      <c r="F87" s="182" t="s">
        <v>15484</v>
      </c>
      <c r="G87" s="182" t="s">
        <v>13240</v>
      </c>
      <c r="H87" s="183">
        <v>0</v>
      </c>
      <c r="I87" s="184" t="s">
        <v>15485</v>
      </c>
      <c r="J87" s="184" t="s">
        <v>1790</v>
      </c>
      <c r="K87" s="224"/>
      <c r="L87" s="224"/>
      <c r="M87" s="224"/>
      <c r="N87" s="224"/>
      <c r="O87" s="224"/>
      <c r="P87" s="185"/>
      <c r="Q87" s="225"/>
      <c r="R87" s="182" t="str">
        <f ca="1">IF(ISERROR($V87),"",OFFSET('Smelter Look-up'!$C$4,$V87-4,0)&amp;"")</f>
        <v>PT Cipta Persada Mulia</v>
      </c>
      <c r="S87" s="181" t="str">
        <f t="shared" ca="1" si="12"/>
        <v>ID</v>
      </c>
      <c r="T87" s="181" t="str">
        <f ca="1">IF(B87="","",IF(ISERROR(MATCH($J87,SorP!$B$1:$B$6279,0)),"",INDIRECT("'SorP'!$A$"&amp;MATCH($S87&amp;$J87,SorP!C:C,0))))</f>
        <v>ID-KR</v>
      </c>
      <c r="U87" s="201"/>
      <c r="V87" s="226">
        <f>IF(C87="",NA(),IF(OR(C87="Smelter not listed",C87="Smelter not yet identified"),MATCH($B87&amp;$D87,'Smelter Look-up'!$J:$J,0),MATCH($B87&amp;$C87,'Smelter Look-up'!$J:$J,0)))</f>
        <v>496</v>
      </c>
      <c r="X87" s="227">
        <f t="shared" si="13"/>
        <v>0</v>
      </c>
      <c r="AB87" s="228" t="str">
        <f t="shared" si="14"/>
        <v>TinPT Cipta Persada Mulia</v>
      </c>
    </row>
    <row r="88" spans="1:28" s="227" customFormat="1" ht="51">
      <c r="A88" s="181"/>
      <c r="B88" s="182" t="s">
        <v>1126</v>
      </c>
      <c r="C88" s="186" t="s">
        <v>15113</v>
      </c>
      <c r="D88" s="230"/>
      <c r="E88" s="182" t="s">
        <v>1101</v>
      </c>
      <c r="F88" s="182" t="s">
        <v>15114</v>
      </c>
      <c r="G88" s="182" t="s">
        <v>13240</v>
      </c>
      <c r="H88" s="183">
        <v>0</v>
      </c>
      <c r="I88" s="184" t="s">
        <v>15149</v>
      </c>
      <c r="J88" s="184" t="s">
        <v>12852</v>
      </c>
      <c r="K88" s="224"/>
      <c r="L88" s="224"/>
      <c r="M88" s="224"/>
      <c r="N88" s="224"/>
      <c r="O88" s="224"/>
      <c r="P88" s="185"/>
      <c r="Q88" s="225"/>
      <c r="R88" s="182" t="str">
        <f ca="1">IF(ISERROR($V88),"",OFFSET('Smelter Look-up'!$C$4,$V88-4,0)&amp;"")</f>
        <v>PT Rajawali Rimba Perkasa</v>
      </c>
      <c r="S88" s="181" t="str">
        <f t="shared" ca="1" si="12"/>
        <v>ID</v>
      </c>
      <c r="T88" s="181" t="str">
        <f ca="1">IF(B88="","",IF(ISERROR(MATCH($J88,SorP!$B$1:$B$6279,0)),"",INDIRECT("'SorP'!$A$"&amp;MATCH($S88&amp;$J88,SorP!C:C,0))))</f>
        <v>ID-BB</v>
      </c>
      <c r="U88" s="201"/>
      <c r="V88" s="226">
        <f>IF(C88="",NA(),IF(OR(C88="Smelter not listed",C88="Smelter not yet identified"),MATCH($B88&amp;$D88,'Smelter Look-up'!$J:$J,0),MATCH($B88&amp;$C88,'Smelter Look-up'!$J:$J,0)))</f>
        <v>506</v>
      </c>
      <c r="X88" s="227">
        <f t="shared" si="13"/>
        <v>0</v>
      </c>
      <c r="AB88" s="228" t="str">
        <f t="shared" si="14"/>
        <v>TinPT Rajawali Rimba Perkasa</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8389DD9-920D-48D3-9091-5060873D3849}"/>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GARNER OSBORNE CIRCUITS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Maddocks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john.maddocks@garnerosborne.co.uk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+441635582626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Maddocks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john.maddocks@garnerosborne.co.uk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45302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Assembly-37 Garner</cp:lastModifiedBy>
  <cp:lastPrinted>2015-04-21T20:47:43Z</cp:lastPrinted>
  <dcterms:created xsi:type="dcterms:W3CDTF">2010-06-21T21:00:23Z</dcterms:created>
  <dcterms:modified xsi:type="dcterms:W3CDTF">2024-01-11T08:12:14Z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